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S:\SEPES\Z\DOETH\Maquette\Diffusions\"/>
    </mc:Choice>
  </mc:AlternateContent>
  <xr:revisionPtr revIDLastSave="0" documentId="13_ncr:1_{932E414A-476A-46E2-9917-926F1707BB11}" xr6:coauthVersionLast="47" xr6:coauthVersionMax="47" xr10:uidLastSave="{00000000-0000-0000-0000-000000000000}"/>
  <bookViews>
    <workbookView xWindow="-120" yWindow="-120" windowWidth="25440" windowHeight="15390" activeTab="2" xr2:uid="{00000000-000D-0000-FFFF-FFFF00000000}"/>
  </bookViews>
  <sheets>
    <sheet name="Lisez-moi" sheetId="20" r:id="rId1"/>
    <sheet name="MAQUETTE" sheetId="1" r:id="rId2"/>
    <sheet name="calculs_2020_2021_2022" sheetId="22"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12" i="1" l="1"/>
  <c r="R112" i="1"/>
  <c r="Q112" i="1"/>
  <c r="P112" i="1"/>
  <c r="O112" i="1"/>
  <c r="N112" i="1"/>
  <c r="S111" i="1"/>
  <c r="R111" i="1"/>
  <c r="Q111" i="1"/>
  <c r="P111" i="1"/>
  <c r="O111" i="1"/>
  <c r="N111" i="1"/>
  <c r="S110" i="1"/>
  <c r="R110" i="1"/>
  <c r="Q110" i="1"/>
  <c r="P110" i="1"/>
  <c r="O110" i="1"/>
  <c r="N110" i="1"/>
  <c r="S109" i="1"/>
  <c r="R109" i="1"/>
  <c r="Q109" i="1"/>
  <c r="P109" i="1"/>
  <c r="O109" i="1"/>
  <c r="N109" i="1"/>
  <c r="S108" i="1"/>
  <c r="R108" i="1"/>
  <c r="Q108" i="1"/>
  <c r="P108" i="1"/>
  <c r="O108" i="1"/>
  <c r="N108" i="1"/>
  <c r="S107" i="1"/>
  <c r="R107" i="1"/>
  <c r="Q107" i="1"/>
  <c r="P107" i="1"/>
  <c r="O107" i="1"/>
  <c r="N107" i="1"/>
  <c r="S106" i="1"/>
  <c r="R106" i="1"/>
  <c r="Q106" i="1"/>
  <c r="P106" i="1"/>
  <c r="O106" i="1"/>
  <c r="N106" i="1"/>
  <c r="S105" i="1"/>
  <c r="R105" i="1"/>
  <c r="Q105" i="1"/>
  <c r="P105" i="1"/>
  <c r="O105" i="1"/>
  <c r="N105" i="1"/>
  <c r="H105" i="1"/>
  <c r="S93" i="1"/>
  <c r="R93" i="1"/>
  <c r="Q93" i="1"/>
  <c r="P93" i="1"/>
  <c r="O93" i="1"/>
  <c r="N93" i="1"/>
  <c r="S92" i="1"/>
  <c r="R92" i="1"/>
  <c r="Q92" i="1"/>
  <c r="P92" i="1"/>
  <c r="O92" i="1"/>
  <c r="N92" i="1"/>
  <c r="S91" i="1"/>
  <c r="R91" i="1"/>
  <c r="Q91" i="1"/>
  <c r="P91" i="1"/>
  <c r="O91" i="1"/>
  <c r="N91" i="1"/>
  <c r="S90" i="1"/>
  <c r="R90" i="1"/>
  <c r="Q90" i="1"/>
  <c r="P90" i="1"/>
  <c r="O90" i="1"/>
  <c r="N90" i="1"/>
  <c r="S89" i="1"/>
  <c r="R89" i="1"/>
  <c r="Q89" i="1"/>
  <c r="P89" i="1"/>
  <c r="O89" i="1"/>
  <c r="N89" i="1"/>
  <c r="H89" i="1"/>
  <c r="M75" i="1"/>
  <c r="L75" i="1"/>
  <c r="K75" i="1"/>
  <c r="J75" i="1"/>
  <c r="M74" i="1"/>
  <c r="L74" i="1"/>
  <c r="K74" i="1"/>
  <c r="J74" i="1"/>
  <c r="M73" i="1"/>
  <c r="L73" i="1"/>
  <c r="K73" i="1"/>
  <c r="J73" i="1"/>
  <c r="M72" i="1"/>
  <c r="L72" i="1"/>
  <c r="K72" i="1"/>
  <c r="J72" i="1"/>
  <c r="M71" i="1"/>
  <c r="L71" i="1"/>
  <c r="K71" i="1"/>
  <c r="J71" i="1"/>
  <c r="M70" i="1"/>
  <c r="L70" i="1"/>
  <c r="K70" i="1"/>
  <c r="J70" i="1"/>
  <c r="M69" i="1"/>
  <c r="L69" i="1"/>
  <c r="K69" i="1"/>
  <c r="J69" i="1"/>
  <c r="M68" i="1"/>
  <c r="L68" i="1"/>
  <c r="K68" i="1"/>
  <c r="J68" i="1"/>
  <c r="F68" i="1"/>
  <c r="M56" i="1"/>
  <c r="L56" i="1"/>
  <c r="K56" i="1"/>
  <c r="J56" i="1"/>
  <c r="M55" i="1"/>
  <c r="L55" i="1"/>
  <c r="K55" i="1"/>
  <c r="J55" i="1"/>
  <c r="M54" i="1"/>
  <c r="L54" i="1"/>
  <c r="K54" i="1"/>
  <c r="J54" i="1"/>
  <c r="M53" i="1"/>
  <c r="L53" i="1"/>
  <c r="K53" i="1"/>
  <c r="J53" i="1"/>
  <c r="M52" i="1"/>
  <c r="L52" i="1"/>
  <c r="K52" i="1"/>
  <c r="J52" i="1"/>
  <c r="F52" i="1"/>
  <c r="F53" i="1"/>
  <c r="B5" i="1"/>
  <c r="B6" i="1"/>
  <c r="B7" i="1"/>
  <c r="B18" i="1"/>
  <c r="B19" i="1"/>
  <c r="B21" i="1"/>
  <c r="B34" i="1"/>
  <c r="B36" i="1"/>
  <c r="B94" i="1" s="1"/>
  <c r="B37" i="1"/>
  <c r="B38" i="1"/>
  <c r="B39" i="1"/>
  <c r="B40" i="1"/>
  <c r="B41" i="1"/>
  <c r="B52" i="1"/>
  <c r="B53" i="1"/>
  <c r="B54" i="1"/>
  <c r="B55" i="1"/>
  <c r="B56" i="1"/>
  <c r="B68" i="1"/>
  <c r="B69" i="1"/>
  <c r="B70" i="1"/>
  <c r="B71" i="1"/>
  <c r="B72" i="1"/>
  <c r="B73" i="1"/>
  <c r="B74" i="1"/>
  <c r="B75" i="1"/>
  <c r="B89" i="1"/>
  <c r="B90" i="1"/>
  <c r="B91" i="1"/>
  <c r="B92" i="1"/>
  <c r="B93" i="1"/>
  <c r="B105" i="1"/>
  <c r="B106" i="1"/>
  <c r="B107" i="1"/>
  <c r="B108" i="1"/>
  <c r="B109" i="1"/>
  <c r="B110" i="1"/>
  <c r="B111" i="1"/>
  <c r="B112" i="1"/>
  <c r="D41" i="1"/>
  <c r="S113" i="1" s="1"/>
  <c r="D40" i="1"/>
  <c r="R94" i="1" s="1"/>
  <c r="D39" i="1"/>
  <c r="Q94" i="1" s="1"/>
  <c r="D38" i="1"/>
  <c r="P94" i="1" s="1"/>
  <c r="D37" i="1"/>
  <c r="O94" i="1" s="1"/>
  <c r="D36" i="1"/>
  <c r="N94" i="1" s="1"/>
  <c r="C36" i="1"/>
  <c r="D34" i="1"/>
  <c r="M57" i="1" s="1"/>
  <c r="C34" i="1"/>
  <c r="D21" i="1"/>
  <c r="C21" i="1"/>
  <c r="D19" i="1"/>
  <c r="C19" i="1"/>
  <c r="D18" i="1"/>
  <c r="C18" i="1"/>
  <c r="D7" i="1"/>
  <c r="C7" i="1"/>
  <c r="D6" i="1"/>
  <c r="C6" i="1"/>
  <c r="D5" i="1"/>
  <c r="C5" i="1"/>
  <c r="C8" i="1" l="1"/>
  <c r="B22" i="1"/>
  <c r="D8" i="1"/>
  <c r="B8" i="1"/>
  <c r="B113" i="1"/>
  <c r="B20" i="1"/>
  <c r="S94" i="1"/>
  <c r="D20" i="1"/>
  <c r="N113" i="1"/>
  <c r="M76" i="1"/>
  <c r="O113" i="1"/>
  <c r="P113" i="1"/>
  <c r="Q113" i="1"/>
  <c r="R113" i="1"/>
  <c r="D22" i="1"/>
  <c r="M112" i="1"/>
  <c r="L112" i="1"/>
  <c r="K112" i="1"/>
  <c r="J112" i="1"/>
  <c r="I112" i="1"/>
  <c r="H112" i="1"/>
  <c r="M111" i="1"/>
  <c r="L111" i="1"/>
  <c r="K111" i="1"/>
  <c r="J111" i="1"/>
  <c r="I111" i="1"/>
  <c r="H111" i="1"/>
  <c r="M110" i="1"/>
  <c r="L110" i="1"/>
  <c r="K110" i="1"/>
  <c r="J110" i="1"/>
  <c r="I110" i="1"/>
  <c r="H110" i="1"/>
  <c r="M109" i="1"/>
  <c r="L109" i="1"/>
  <c r="K109" i="1"/>
  <c r="J109" i="1"/>
  <c r="I109" i="1"/>
  <c r="H109" i="1"/>
  <c r="M108" i="1"/>
  <c r="L108" i="1"/>
  <c r="K108" i="1"/>
  <c r="J108" i="1"/>
  <c r="I108" i="1"/>
  <c r="H108" i="1"/>
  <c r="M107" i="1"/>
  <c r="L107" i="1"/>
  <c r="K107" i="1"/>
  <c r="J107" i="1"/>
  <c r="I107" i="1"/>
  <c r="H107" i="1"/>
  <c r="M106" i="1"/>
  <c r="L106" i="1"/>
  <c r="K106" i="1"/>
  <c r="J106" i="1"/>
  <c r="I106" i="1"/>
  <c r="H106" i="1"/>
  <c r="M105" i="1"/>
  <c r="L105" i="1"/>
  <c r="K105" i="1"/>
  <c r="J105" i="1"/>
  <c r="I105" i="1"/>
  <c r="G112" i="1"/>
  <c r="F112" i="1"/>
  <c r="E112" i="1"/>
  <c r="D112" i="1"/>
  <c r="C112" i="1"/>
  <c r="G111" i="1"/>
  <c r="F111" i="1"/>
  <c r="E111" i="1"/>
  <c r="D111" i="1"/>
  <c r="C111" i="1"/>
  <c r="G110" i="1"/>
  <c r="F110" i="1"/>
  <c r="E110" i="1"/>
  <c r="D110" i="1"/>
  <c r="C110" i="1"/>
  <c r="G109" i="1"/>
  <c r="F109" i="1"/>
  <c r="E109" i="1"/>
  <c r="D109" i="1"/>
  <c r="C109" i="1"/>
  <c r="G108" i="1"/>
  <c r="F108" i="1"/>
  <c r="E108" i="1"/>
  <c r="D108" i="1"/>
  <c r="C108" i="1"/>
  <c r="G107" i="1"/>
  <c r="F107" i="1"/>
  <c r="E107" i="1"/>
  <c r="D107" i="1"/>
  <c r="C107" i="1"/>
  <c r="G106" i="1"/>
  <c r="F106" i="1"/>
  <c r="E106" i="1"/>
  <c r="D106" i="1"/>
  <c r="C106" i="1"/>
  <c r="G105" i="1"/>
  <c r="F105" i="1"/>
  <c r="E105" i="1"/>
  <c r="D105" i="1"/>
  <c r="C105" i="1"/>
  <c r="I75" i="1"/>
  <c r="H75" i="1"/>
  <c r="G75" i="1"/>
  <c r="F75" i="1"/>
  <c r="I74" i="1"/>
  <c r="H74" i="1"/>
  <c r="G74" i="1"/>
  <c r="F74" i="1"/>
  <c r="I73" i="1"/>
  <c r="H73" i="1"/>
  <c r="G73" i="1"/>
  <c r="F73" i="1"/>
  <c r="I72" i="1"/>
  <c r="H72" i="1"/>
  <c r="G72" i="1"/>
  <c r="F72" i="1"/>
  <c r="I71" i="1"/>
  <c r="H71" i="1"/>
  <c r="G71" i="1"/>
  <c r="F71" i="1"/>
  <c r="I70" i="1"/>
  <c r="H70" i="1"/>
  <c r="G70" i="1"/>
  <c r="F70" i="1"/>
  <c r="I69" i="1"/>
  <c r="H69" i="1"/>
  <c r="G69" i="1"/>
  <c r="F69" i="1"/>
  <c r="I68" i="1"/>
  <c r="H68" i="1"/>
  <c r="G68" i="1"/>
  <c r="E75" i="1"/>
  <c r="D75" i="1"/>
  <c r="C75" i="1"/>
  <c r="E74" i="1"/>
  <c r="D74" i="1"/>
  <c r="C74" i="1"/>
  <c r="E73" i="1"/>
  <c r="D73" i="1"/>
  <c r="C73" i="1"/>
  <c r="E72" i="1"/>
  <c r="D72" i="1"/>
  <c r="C72" i="1"/>
  <c r="E71" i="1"/>
  <c r="D71" i="1"/>
  <c r="C71" i="1"/>
  <c r="E70" i="1"/>
  <c r="D70" i="1"/>
  <c r="C70" i="1"/>
  <c r="E69" i="1"/>
  <c r="D69" i="1"/>
  <c r="C69" i="1"/>
  <c r="E68" i="1"/>
  <c r="D68" i="1"/>
  <c r="C68" i="1"/>
  <c r="B76" i="1" l="1"/>
  <c r="B57" i="1"/>
  <c r="J76" i="1"/>
  <c r="J57" i="1"/>
  <c r="F57" i="1"/>
  <c r="F76" i="1"/>
  <c r="L76" i="1"/>
  <c r="L57" i="1"/>
  <c r="K57" i="1"/>
  <c r="K76" i="1"/>
  <c r="M93" i="1"/>
  <c r="L93" i="1"/>
  <c r="K93" i="1"/>
  <c r="J93" i="1"/>
  <c r="I93" i="1"/>
  <c r="H93" i="1"/>
  <c r="M92" i="1"/>
  <c r="L92" i="1"/>
  <c r="K92" i="1"/>
  <c r="J92" i="1"/>
  <c r="I92" i="1"/>
  <c r="H92" i="1"/>
  <c r="M91" i="1"/>
  <c r="L91" i="1"/>
  <c r="K91" i="1"/>
  <c r="J91" i="1"/>
  <c r="I91" i="1"/>
  <c r="H91" i="1"/>
  <c r="M90" i="1"/>
  <c r="L90" i="1"/>
  <c r="K90" i="1"/>
  <c r="J90" i="1"/>
  <c r="I90" i="1"/>
  <c r="H90" i="1"/>
  <c r="M89" i="1"/>
  <c r="L89" i="1"/>
  <c r="K89" i="1"/>
  <c r="J89" i="1"/>
  <c r="I89" i="1"/>
  <c r="I56" i="1"/>
  <c r="H56" i="1"/>
  <c r="G56" i="1"/>
  <c r="F56" i="1"/>
  <c r="I55" i="1"/>
  <c r="H55" i="1"/>
  <c r="G55" i="1"/>
  <c r="F55" i="1"/>
  <c r="I54" i="1"/>
  <c r="H54" i="1"/>
  <c r="G54" i="1"/>
  <c r="F54" i="1"/>
  <c r="I53" i="1"/>
  <c r="H53" i="1"/>
  <c r="G53" i="1"/>
  <c r="I52" i="1"/>
  <c r="H52" i="1"/>
  <c r="G52" i="1"/>
  <c r="G93" i="1"/>
  <c r="F93" i="1"/>
  <c r="E93" i="1"/>
  <c r="D93" i="1"/>
  <c r="C93" i="1"/>
  <c r="G92" i="1"/>
  <c r="F92" i="1"/>
  <c r="E92" i="1"/>
  <c r="D92" i="1"/>
  <c r="C92" i="1"/>
  <c r="G91" i="1"/>
  <c r="F91" i="1"/>
  <c r="E91" i="1"/>
  <c r="D91" i="1"/>
  <c r="C91" i="1"/>
  <c r="G90" i="1"/>
  <c r="F90" i="1"/>
  <c r="E90" i="1"/>
  <c r="D90" i="1"/>
  <c r="C90" i="1"/>
  <c r="G89" i="1"/>
  <c r="F89" i="1"/>
  <c r="E89" i="1"/>
  <c r="D89" i="1"/>
  <c r="C89" i="1"/>
  <c r="E56" i="1"/>
  <c r="D56" i="1"/>
  <c r="C56" i="1"/>
  <c r="E55" i="1"/>
  <c r="D55" i="1"/>
  <c r="C55" i="1"/>
  <c r="E54" i="1"/>
  <c r="D54" i="1"/>
  <c r="C54" i="1"/>
  <c r="E53" i="1"/>
  <c r="D53" i="1"/>
  <c r="C53" i="1"/>
  <c r="E52" i="1"/>
  <c r="D52" i="1"/>
  <c r="C52" i="1"/>
  <c r="G94" i="1"/>
  <c r="G113" i="1" l="1"/>
  <c r="C41" i="1"/>
  <c r="C40" i="1"/>
  <c r="C39" i="1"/>
  <c r="C38" i="1"/>
  <c r="C37" i="1"/>
  <c r="H113" i="1" l="1"/>
  <c r="H94" i="1"/>
  <c r="I113" i="1"/>
  <c r="I94" i="1"/>
  <c r="J94" i="1"/>
  <c r="J113" i="1"/>
  <c r="K94" i="1"/>
  <c r="K113" i="1"/>
  <c r="L94" i="1"/>
  <c r="L113" i="1"/>
  <c r="I57" i="1"/>
  <c r="I76" i="1"/>
  <c r="M94" i="1"/>
  <c r="M113" i="1"/>
  <c r="E76" i="1"/>
  <c r="E57" i="1"/>
  <c r="D94" i="1"/>
  <c r="D113" i="1"/>
  <c r="C113" i="1"/>
  <c r="C94" i="1"/>
  <c r="E94" i="1"/>
  <c r="E113" i="1"/>
  <c r="F94" i="1"/>
  <c r="F113" i="1"/>
  <c r="C22" i="1" l="1"/>
  <c r="C20" i="1"/>
  <c r="G76" i="1" l="1"/>
  <c r="G57" i="1"/>
  <c r="H76" i="1"/>
  <c r="H57" i="1"/>
  <c r="D76" i="1"/>
  <c r="D57" i="1"/>
  <c r="C76" i="1"/>
  <c r="C57" i="1"/>
</calcChain>
</file>

<file path=xl/sharedStrings.xml><?xml version="1.0" encoding="utf-8"?>
<sst xmlns="http://schemas.openxmlformats.org/spreadsheetml/2006/main" count="782" uniqueCount="135">
  <si>
    <t xml:space="preserve">Nombre de travailleurs handicapés employés en personnes physiques </t>
  </si>
  <si>
    <t xml:space="preserve">Part de l'obligation attendue dans les effectifs assujettis (en %)** </t>
  </si>
  <si>
    <t>** Le taux de 6 % est théorique car, dans la pratique, l'arrondissement à l’unité inférieure fait baisser ce taux. Ainsi, par exemple, pour une assiette d'assujettissement de 33 salariés, le calcul est le suivant : 6 %x 33= 1,98. L'obligation est d'une unité, soit 3 % de l'assiette (c'est le cas limite).</t>
  </si>
  <si>
    <t>En %</t>
  </si>
  <si>
    <t>Construction</t>
  </si>
  <si>
    <t>Information et communication</t>
  </si>
  <si>
    <t>Administration publique, enseignement, santé humaine et action sociale</t>
  </si>
  <si>
    <t>500 salariés ou plus</t>
  </si>
  <si>
    <t>De 20 à 49 salariés</t>
  </si>
  <si>
    <t>De 50 à 99 salariés</t>
  </si>
  <si>
    <t>Les données sur l'obligation d'emploi des travailleurs handicapés</t>
  </si>
  <si>
    <t>La source</t>
  </si>
  <si>
    <t>Le champ</t>
  </si>
  <si>
    <t>Dans ce fichier, le décompte des salariés bénéficiaires est présenté de plusieurs façons :</t>
  </si>
  <si>
    <t xml:space="preserve">- En nombre de travailleurs handicapés employés « en personnes physiques » : chaque salarié bénéficiaire compte pour une personne à partir du moment où il est recensé comme bénéficiaire au sens de la loi (la quotité de travail n’est pas prise en compte). </t>
  </si>
  <si>
    <t xml:space="preserve">Méthode de calcul des salariés bénéficiaires </t>
  </si>
  <si>
    <t>Autres activités</t>
  </si>
  <si>
    <t>GUADELOUPE</t>
  </si>
  <si>
    <t>MARTINIQUE</t>
  </si>
  <si>
    <t>GUYANE</t>
  </si>
  <si>
    <t>LA REUNION</t>
  </si>
  <si>
    <t>ILE-DE-FRANCE</t>
  </si>
  <si>
    <t>CENTRE-VAL DE LOIRE</t>
  </si>
  <si>
    <t>BOURGOGNE-FRANCHE-COMTE</t>
  </si>
  <si>
    <t>NORMANDIE</t>
  </si>
  <si>
    <t>PAYS DE LA LOIRE</t>
  </si>
  <si>
    <t>BRETAGNE</t>
  </si>
  <si>
    <t>AUVERGNE-RHONE-ALPES</t>
  </si>
  <si>
    <t>PROVENCE-ALPES-COTE D'AZUR</t>
  </si>
  <si>
    <t>CORSE</t>
  </si>
  <si>
    <t>REGIONS</t>
  </si>
  <si>
    <t xml:space="preserve">Contenu des tableaux </t>
  </si>
  <si>
    <t>OCCITANIE</t>
  </si>
  <si>
    <t>GRAND-EST</t>
  </si>
  <si>
    <t>Tableaux 1 et 2</t>
  </si>
  <si>
    <t>NOUVELLE-AQUITAINE</t>
  </si>
  <si>
    <t xml:space="preserve">Industrie </t>
  </si>
  <si>
    <t>Activités financières, d'assurance et immobilières</t>
  </si>
  <si>
    <t>Services aux entreprises</t>
  </si>
  <si>
    <t>Industrie</t>
  </si>
  <si>
    <t>Taux d'emploi direct en équivalent temps plein (en %)</t>
  </si>
  <si>
    <t>250 à 499 salariés</t>
  </si>
  <si>
    <t>100 à 249 salariés</t>
  </si>
  <si>
    <t xml:space="preserve">HAUTS-DE-FRANCE </t>
  </si>
  <si>
    <t>Commerce, transport, hébergement et restauration</t>
  </si>
  <si>
    <r>
      <t xml:space="preserve">- En nombre de travailleurs handicapés employés « en équivalent temps plein » : chaque salarié bénéficiaire compte au </t>
    </r>
    <r>
      <rPr>
        <i/>
        <sz val="8"/>
        <rFont val="Arial"/>
        <family val="2"/>
      </rPr>
      <t>prorata</t>
    </r>
    <r>
      <rPr>
        <sz val="8"/>
        <rFont val="Arial"/>
        <family val="2"/>
      </rPr>
      <t xml:space="preserve"> du temps réel de travail, du temps de présence dans l'année et de la durée de validité de la reconnaissance.</t>
    </r>
  </si>
  <si>
    <t>2021p</t>
  </si>
  <si>
    <t>Tableau 1 : Les entreprises assujetties et l'obligation d'emploi de travailleurs handicapés</t>
  </si>
  <si>
    <t xml:space="preserve">Nombre d'entreprises assujetties </t>
  </si>
  <si>
    <t>Effectifs assujettis dans l'ensemble des entreprises assujetties (en équivalent temps plein)</t>
  </si>
  <si>
    <t>Nombre théorique de travailleurs handicapés que les entreprises devaient employer*</t>
  </si>
  <si>
    <t>* Le nombre de travailleurs handicapés que les entreprises ont l’obligation d’employer doit s'établir à 6 % de leur effectif d'assujettissement, arrondi à l'unité inférieure.</t>
  </si>
  <si>
    <t>Champ : entreprises de 20 salariés ou plus du secteur privé et public à caractère industriel et commercial (Epic), France entière.</t>
  </si>
  <si>
    <t>Tableau 2 : Les travailleurs handicapés dans les effectifs des entreprises assujetties, selon les trois modes de décompte*</t>
  </si>
  <si>
    <t>Nombre de travailleurs handicapés employés en équivalents temps plein**</t>
  </si>
  <si>
    <r>
      <t xml:space="preserve">** Le décompte des travailleurs handicapés employés en équivalent temps plein s’effectue au </t>
    </r>
    <r>
      <rPr>
        <i/>
        <sz val="8"/>
        <rFont val="Arial"/>
        <family val="2"/>
      </rPr>
      <t>prorata</t>
    </r>
    <r>
      <rPr>
        <sz val="8"/>
        <rFont val="Arial"/>
        <family val="2"/>
      </rPr>
      <t>du temps réel de travail, du temps de présence dans l'année et de la durée de validité de la reconnaissance.</t>
    </r>
  </si>
  <si>
    <t>Nombre de travailleurs handicapés employés en équivalents temps plein après majoration***</t>
  </si>
  <si>
    <t>Taux d'emploi direct en équivalent temps plein majoré (en %)</t>
  </si>
  <si>
    <t>Nombre de TH employés en équivalent temps plein, (ensemble des entreprises)</t>
  </si>
  <si>
    <t>Nombre de TH employés en équivalent temps plein après majoration des 50 ans ou plus (ensemble des entreprises)</t>
  </si>
  <si>
    <t>Répartition des entreprises selon leur taux d'atteinte directe de l'OETH</t>
  </si>
  <si>
    <t>0 %</t>
  </si>
  <si>
    <t>Entre 1 % et 24 %</t>
  </si>
  <si>
    <t>Entre 25 % et 49 %</t>
  </si>
  <si>
    <t>Entre 50 % et 74 %</t>
  </si>
  <si>
    <t>Entre 75 % et 99 %</t>
  </si>
  <si>
    <t>Supérieure ou égale à 100 %</t>
  </si>
  <si>
    <t>p : données provisoires.</t>
  </si>
  <si>
    <t>Tableau 3</t>
  </si>
  <si>
    <t>Taux d'atteinte directe de l'OETH de l'ensemble des entreprises</t>
  </si>
  <si>
    <t>Part des entreprises ayant un taux d'atteinte de l'OETH de 0 %</t>
  </si>
  <si>
    <t>Part des entreprises ayant un taux d'atteinte de l'OETH entre 1 % et 24 %</t>
  </si>
  <si>
    <t>Part des entreprises ayant un taux d'atteinte de l'OETH entre 25 % et 49 %</t>
  </si>
  <si>
    <t>Part des entreprises ayant un taux d'atteinte de l'OETH entre 50 % et 74 %</t>
  </si>
  <si>
    <t>Part des entreprises ayant un taux d'atteinte de l'OETH entre 75 % et 99 %</t>
  </si>
  <si>
    <t>Part des entreprises ayant un taux d'atteinte de l'OETH supérieure ou égale à 100 %</t>
  </si>
  <si>
    <t>Taux d'emploi direct attendu</t>
  </si>
  <si>
    <t>Taux d'emploi direct</t>
  </si>
  <si>
    <t>Taux d'emploi direct majoré</t>
  </si>
  <si>
    <t>20-49 salariés</t>
  </si>
  <si>
    <t>50-99 salariés</t>
  </si>
  <si>
    <t>100-249 salariés</t>
  </si>
  <si>
    <t>250-499 salariés</t>
  </si>
  <si>
    <t>Taux d'atteinte directe de l'OETH</t>
  </si>
  <si>
    <t>Ensemble des entreprises</t>
  </si>
  <si>
    <t>Tableau 4</t>
  </si>
  <si>
    <t>Tableau 5</t>
  </si>
  <si>
    <t>Tableau 6</t>
  </si>
  <si>
    <t>Tableau 7</t>
  </si>
  <si>
    <t>Champ : entreprises du secteur privé et entreprises publiques à caractère industriel et commercial, de 20 salariés ou plus, France entière.</t>
  </si>
  <si>
    <t>*** La majoration consiste à appliquer pour chaque travailleur handicapé âgé de 50 ans ou plus un coefficient de valorisation de 1,5 dans le calcul des effectifs de BOETH. Par exemple, une personne ayant travaillé à 80 % à compter du 1er juillet de l’année compte pour : [0,8*(6/12)]*1,5 = 0,6 équivalent temps plein.</t>
  </si>
  <si>
    <t>* Les travailleurs handicapés pris en compte sont ceux employés directement par les entreprises assujetties (c'est-à-dire hors ceux mis à disposition). Ils sont décomptés selon trois modes différents (en personnes physiques, en équivalent temps plein et en équivalent temps plein après majoration des travailleurs handicapés âgés d'au moins 50 ans).</t>
  </si>
  <si>
    <t>TABLEAU 3 | Taux d'atteinte directe de l'OETH des entreprises assujetties*</t>
  </si>
  <si>
    <t>* Le taux d'atteinte directe de l'OETH est le rapport entre le nombre de travailleurs handicapés employés directement par les entreprises assujetties (c'est-à-dire hors ceux mis à disposition), en équivalent temps plein et en prenant en compte la majoration de ceux âgés de 50 ans ou plus, et les effectifs attendus. Il peut également être calculé en rapportant le taux d'emploi direct majoré au taux attendu dans les entreprises assujetties.</t>
  </si>
  <si>
    <t>Tableau 4 : Taux d'emploi direct et taux d'atteinte de l'OETH selon la taille de l’entreprise*</t>
  </si>
  <si>
    <t>Tableau 5 : Taux d'emploi direct et taux d'atteinte de l'OETH selon le secteur d'activité de l’entreprise*</t>
  </si>
  <si>
    <t>** Sont notamment inclus ici, dans le secteur de l'administration publique (hors fonction publique), les organismes de droit privé chargés d'une mission de service public, comme les caisses d'allocations familiales.</t>
  </si>
  <si>
    <t>*** Autres activités : agriculture, sylviculture et pêche, ainsi que diverses activités de service.</t>
  </si>
  <si>
    <t>Administration publique, enseignement, santé humaine et action sociale**</t>
  </si>
  <si>
    <t>Autres activités***</t>
  </si>
  <si>
    <t>Tableau 6 : Répartition du taux d'atteinte de l'OETH selon la taille de l’entreprise*</t>
  </si>
  <si>
    <t>Tableau 7 : Répartition du taux d'atteinte de l'OETH selon le secteur d'activité de l’entreprise*</t>
  </si>
  <si>
    <t>L’obligation d’emploi des travailleurs handicapés (OETH) concerne les entreprises du secteur privé ainsi que les entreprises publiques à caractère industriel ou commercial (Epic), comptant 20 salariés ou plus. L’OETH impose aux entreprises assujetties de porter la part des travailleurs handicapés au seuil de 6 % de leur effectif d’assujettissement.</t>
  </si>
  <si>
    <t>La déclaration d'obligation d'emploi de travailleurs handicapés (DOETH) est une déclaration administrative obligatoire effectuée annuellement par toutes les entreprises du secteur privé ainsi que par les entreprises publiques à caractère industriel ou commercial (Epic), qu'elles comptent ou non 20 salariés ou plus. La déclaration sociale nominative (DSN) intègre depuis le 1er janvier 2020 la DOETH, qui était auparavant collectée annuellement par l’association de gestion du fonds pour l'insertion des personnes handicapées (Agefiph).</t>
  </si>
  <si>
    <t>- En nombre de travailleurs handicapés employés « en équivalent temps plein majoré » : les salariés bénéficiaires qui sont âgés de 50 ans ou plus comptent pour 1,5 fois leur équivalent temps plein.</t>
  </si>
  <si>
    <t>Nombre d'entreprises assujetties</t>
  </si>
  <si>
    <t>Effectifs salariés dans l'ensemble des entreprises assujetties</t>
  </si>
  <si>
    <t xml:space="preserve">Nombre théorique de TH que les entreprises devraient employer </t>
  </si>
  <si>
    <t>Nombre de TH employés en personne physique (nbhand),    (ensemble des entreprises)</t>
  </si>
  <si>
    <t>FRANCE ENTIERE</t>
  </si>
  <si>
    <t>Supérieur ou égal à 100 %</t>
  </si>
  <si>
    <r>
      <rPr>
        <u/>
        <sz val="8"/>
        <rFont val="Arial"/>
        <family val="2"/>
      </rPr>
      <t>Tableau 2</t>
    </r>
    <r>
      <rPr>
        <sz val="8"/>
        <rFont val="Arial"/>
        <family val="2"/>
      </rPr>
      <t xml:space="preserve"> : Le tableau présente le nombre de travailleurs handicapés dans les effectifs des entreprises assujetties selon trois modes de décompte (en personnes physiques, en équivalents temps plein et en équivalents temps plein après majoration des bénéficiaires de l'OETH âgés de 50 ans ou plus). La part des travailleurs handicapés en équivalent temps plein et en équivalent temps plein majoré dans l'ensemble des entreprises assujetties sont calculées comme le rapport entre le nombre de travailleurs handicapés employés, respectivement en équivalent temps plein avant et après prise en compte de la majoration, et les effectifs salariés dans l'ensemble des entreprises assujetties. Ces indicateurs sont désignés sous les termes de taux d'emploi direct et de taux d'emploi direct majoré.
</t>
    </r>
  </si>
  <si>
    <r>
      <rPr>
        <u/>
        <sz val="8"/>
        <rFont val="Arial"/>
        <family val="2"/>
      </rPr>
      <t>Tableau 1</t>
    </r>
    <r>
      <rPr>
        <sz val="8"/>
        <rFont val="Arial"/>
        <family val="2"/>
      </rPr>
      <t xml:space="preserve"> : Le tableau présente le nombre d'entreprises assujetties pour une région donnée. Les entreprises sont rattachées à la région où est implanté leur siège social.
Sont également présentés les effectifs globaux de salariés assujettis de ces entreprises soumises à l'OETH, ainsi que le nombre théorique de salariés handicapés qu'elles devraient employer pour répondre à leur obligation. La part de l'obligation attendue dans les effectifs assujettis (ou taux d'emploi direct attendu) est calculée et correspond au rapport entre le nombre théorique de salariés handicapés que les entreprises devraient employer et les effectifs salariés dans l'ensemble des entreprises assujetties.</t>
    </r>
  </si>
  <si>
    <r>
      <rPr>
        <u/>
        <sz val="8"/>
        <rFont val="Arial"/>
        <family val="2"/>
      </rPr>
      <t>Tableau 4</t>
    </r>
    <r>
      <rPr>
        <sz val="8"/>
        <rFont val="Arial"/>
        <family val="2"/>
      </rPr>
      <t xml:space="preserve"> : Le tableau présente le taux d'emploi direct attendu des salariés handicapés, le taux d'emploi direct et le taux d'emploi direct majoré des salariés handicapés dans les effectifs des entreprises assujetties ainsi que le taux d'atteinte directe de l'OETH selon la taille des entreprises assujetties.
</t>
    </r>
  </si>
  <si>
    <r>
      <rPr>
        <u/>
        <sz val="8"/>
        <rFont val="Arial"/>
        <family val="2"/>
      </rPr>
      <t>Tableau 6</t>
    </r>
    <r>
      <rPr>
        <sz val="8"/>
        <rFont val="Arial"/>
        <family val="2"/>
      </rPr>
      <t xml:space="preserve"> : Le tableau présente la répartition du taux d'atteinte directe de l'OETH selon la taille des entreprises assujetties.
</t>
    </r>
  </si>
  <si>
    <r>
      <rPr>
        <u/>
        <sz val="8"/>
        <rFont val="Arial"/>
        <family val="2"/>
      </rPr>
      <t>Tableau 5</t>
    </r>
    <r>
      <rPr>
        <sz val="8"/>
        <rFont val="Arial"/>
        <family val="2"/>
      </rPr>
      <t xml:space="preserve"> : Le tableau présente le taux d'emploi direct attendu des salariés handicapés, le taux d'emploi direct et le taux d'emploi direct majoré des salariés handicapés dans les effectifs des entreprises assujetties ainsi que le taux d'atteinte directe de l'OETH selon le secteur d'activité des entreprises assujetties.
</t>
    </r>
  </si>
  <si>
    <r>
      <rPr>
        <u/>
        <sz val="8"/>
        <rFont val="Arial"/>
        <family val="2"/>
      </rPr>
      <t>Tableau 7</t>
    </r>
    <r>
      <rPr>
        <sz val="8"/>
        <rFont val="Arial"/>
        <family val="2"/>
      </rPr>
      <t xml:space="preserve"> : Le tableau présente la répartition du taux d'atteinte directe de l'OETH selon le secteur d'activité des entreprises assujetties.
</t>
    </r>
  </si>
  <si>
    <t xml:space="preserve">Les entreprises disposent de quatre modalités qu'elles peuvent combiner pour répondre à l’obligation d’emploi des travailleurs handicapés : l'emploi direct de personnes handicapées ayant une reconnaissance valide de leur handicap et ouvrant droit à l’OETH (appelées bénéficiaires) ; l'emploi indirect qui correspond au recours à des stagiaires handicapés et à la signature de contrats de fournitures, de sous-traitance ou de prestation de services avec des entreprises adaptées, des centres de distribution de travail à domicile ou des établissements et services d'aide par le travail, des travailleurs indépendants handicapés ou des entreprises de portage salarial lorsque le salarié porté est bénéficiaire de l’OETH ; la mise en oeuvre d’un accord agréé de branche, de groupe, d’entreprise ou d’établissement relatif à l’emploi de personnes handicapées ; le versement d’une contribution financière au fonds pour l’insertion professionnelle des personnes handicapées, géré par l’Agefiph. </t>
  </si>
  <si>
    <t>Le champ concerne les entreprises de 20 salariés ou plus du secteur privé et du secteur public à caractère industriel et commercial (Epic). Il couvre la France entière et inclut donc Mayotte et les collectivités d'outre-mer (Saint-Barthélémy, Saint-Martin et Saint-Pierre-et-Miquelon), au moins pour partie, mais leurs statistiques ne sont pas ici présentées en raison d'effectifs trop faibles.</t>
  </si>
  <si>
    <t xml:space="preserve">BILAN OETH </t>
  </si>
  <si>
    <t>Pour l'heure, seules les informations relatives à l'emploi direct de personnes handicapées sont fiables et accessibles à partir des données de la DSN. Elles sont déclinées selon la taille et le secteur d'activité de l'entreprise assujettie à l'OETH.</t>
  </si>
  <si>
    <t>ATTENTION : En raison de faibles effectifs, les résultats pour certaines régions sont à interpréter avec prudence (notamment les croisements par secteur d'activité ou par taille d'entreprise). C'est notamment le cas pour les DOM (Guadeloupe, Martinique, Guyane et La Réunion) et la Corse.</t>
  </si>
  <si>
    <r>
      <rPr>
        <u/>
        <sz val="8"/>
        <rFont val="Arial"/>
        <family val="2"/>
      </rPr>
      <t>Tableau 3</t>
    </r>
    <r>
      <rPr>
        <sz val="8"/>
        <rFont val="Arial"/>
        <family val="2"/>
      </rPr>
      <t xml:space="preserve"> : Le tableau présente le taux d'atteinte directe de l'OETH des entreprises qui y sont assujetties et la répartition des entreprises selon leur taux d'atteinte directe de l'obligation. Ce taux est obtenu en rapportant le nombre de salariés handicapés en emploi direct dans les entreprises assujetties, en équivalent temps plein et après majoration, à l’effectif attendu pour satisfaire l’obligation.
</t>
    </r>
  </si>
  <si>
    <t>Champ : entreprises de 20 salariés ou plus du secteur privé et public à caractère industriel et commercial (Epic), dont le siège social est localisé sur le territoire, France entière.</t>
  </si>
  <si>
    <t>Effectifs salariés dans l'ensemble des entreprises assujetties, en équivalent temps plein</t>
  </si>
  <si>
    <t>Les indicateurs des entreprises assujetties à l'Obligation d'Emploi des Travailleurs Handicapés (OETH)</t>
  </si>
  <si>
    <t>2022p</t>
  </si>
  <si>
    <t>Avertissement : les dates d'extraction des tables ayant permis le calcul des indicateurs 2020, 2021 et 2022 sont de septembre 2023.</t>
  </si>
  <si>
    <t>Les données présentées ici sont directement comparables avec la publication nationale relative à l'OETH en 2022.</t>
  </si>
  <si>
    <r>
      <rPr>
        <b/>
        <sz val="8"/>
        <color theme="8" tint="-0.499984740745262"/>
        <rFont val="Calibri"/>
        <family val="2"/>
        <scheme val="minor"/>
      </rPr>
      <t>2020</t>
    </r>
    <r>
      <rPr>
        <sz val="8"/>
        <color theme="8" tint="-0.499984740745262"/>
        <rFont val="Calibri"/>
        <family val="2"/>
        <scheme val="minor"/>
      </rPr>
      <t xml:space="preserve"> (extraction en septembre 2023 - </t>
    </r>
    <r>
      <rPr>
        <b/>
        <sz val="8"/>
        <color theme="8" tint="-0.499984740745262"/>
        <rFont val="Calibri"/>
        <family val="2"/>
        <scheme val="minor"/>
      </rPr>
      <t>données définitives</t>
    </r>
    <r>
      <rPr>
        <sz val="8"/>
        <color theme="8" tint="-0.499984740745262"/>
        <rFont val="Calibri"/>
        <family val="2"/>
        <scheme val="minor"/>
      </rPr>
      <t>)</t>
    </r>
  </si>
  <si>
    <r>
      <rPr>
        <b/>
        <sz val="8"/>
        <color rgb="FFFF0000"/>
        <rFont val="Calibri"/>
        <family val="2"/>
        <scheme val="minor"/>
      </rPr>
      <t>2022</t>
    </r>
    <r>
      <rPr>
        <sz val="8"/>
        <color rgb="FFFF0000"/>
        <rFont val="Calibri"/>
        <family val="2"/>
        <scheme val="minor"/>
      </rPr>
      <t xml:space="preserve"> (extraction en septembre 2023 - données provisoires)</t>
    </r>
  </si>
  <si>
    <r>
      <rPr>
        <b/>
        <sz val="8"/>
        <color theme="6" tint="-0.499984740745262"/>
        <rFont val="Calibri"/>
        <family val="2"/>
        <scheme val="minor"/>
      </rPr>
      <t>2021</t>
    </r>
    <r>
      <rPr>
        <sz val="8"/>
        <color theme="6" tint="-0.499984740745262"/>
        <rFont val="Calibri"/>
        <family val="2"/>
        <scheme val="minor"/>
      </rPr>
      <t xml:space="preserve"> (extraction en septembre 2023 - données provisoires)</t>
    </r>
  </si>
  <si>
    <t>Les données et donc les statistiques correspondantes sont définitives pour l'année 2020. Elles restent provisoires pour les années 2021 et 2022 et seront donc révisées lors de la prochaine maquette régionale.</t>
  </si>
  <si>
    <t>Source : Dares, DSN-Sismmo, extraction en septembre 2023 pour les années 2020, 2021 et 2022.</t>
  </si>
  <si>
    <t>https://dares.travail-emploi.gouv.fr/publication/lobligation-demploi-des-travailleurs-handicapes-en-2022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</si>
</sst>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
    <numFmt numFmtId="167" formatCode="_-* #,##0\ _€_-;\-* #,##0\ _€_-;_-* &quot;-&quot;??\ _€_-;_-@_-"/>
    <numFmt numFmtId="168" formatCode="#,##0.0_ ;\-#,##0.0\ "/>
  </numFmts>
  <fonts count="39" x14ac:knownFonts="1">
    <font>
      <sz val="10"/>
      <name val="Arial"/>
    </font>
    <font>
      <sz val="11"/>
      <color theme="1"/>
      <name val="Calibri"/>
      <family val="2"/>
      <scheme val="minor"/>
    </font>
    <font>
      <sz val="10"/>
      <name val="Arial"/>
      <family val="2"/>
    </font>
    <font>
      <b/>
      <sz val="10"/>
      <name val="Arial"/>
      <family val="2"/>
    </font>
    <font>
      <sz val="8"/>
      <name val="Arial"/>
      <family val="2"/>
    </font>
    <font>
      <sz val="8"/>
      <name val="Arial"/>
      <family val="2"/>
    </font>
    <font>
      <b/>
      <sz val="8"/>
      <name val="Arial"/>
      <family val="2"/>
    </font>
    <font>
      <b/>
      <sz val="9"/>
      <name val="Arial"/>
      <family val="2"/>
    </font>
    <font>
      <sz val="9"/>
      <name val="Arial"/>
      <family val="2"/>
    </font>
    <font>
      <i/>
      <sz val="9"/>
      <name val="Arial"/>
      <family val="2"/>
    </font>
    <font>
      <b/>
      <sz val="8"/>
      <color indexed="8"/>
      <name val="Arial"/>
      <family val="2"/>
    </font>
    <font>
      <u/>
      <sz val="8"/>
      <name val="Arial"/>
      <family val="2"/>
    </font>
    <font>
      <u/>
      <sz val="10"/>
      <color theme="10"/>
      <name val="Arial"/>
      <family val="2"/>
    </font>
    <font>
      <sz val="10"/>
      <color rgb="FFFF0000"/>
      <name val="Arial"/>
      <family val="2"/>
    </font>
    <font>
      <sz val="10"/>
      <name val="Arial"/>
      <family val="2"/>
    </font>
    <font>
      <sz val="8"/>
      <name val="Calibri"/>
      <family val="2"/>
      <scheme val="minor"/>
    </font>
    <font>
      <b/>
      <sz val="8"/>
      <name val="Calibri"/>
      <family val="2"/>
      <scheme val="minor"/>
    </font>
    <font>
      <sz val="8"/>
      <color theme="6" tint="-0.499984740745262"/>
      <name val="Calibri"/>
      <family val="2"/>
      <scheme val="minor"/>
    </font>
    <font>
      <b/>
      <sz val="8"/>
      <color theme="6" tint="-0.499984740745262"/>
      <name val="Calibri"/>
      <family val="2"/>
      <scheme val="minor"/>
    </font>
    <font>
      <sz val="8"/>
      <color theme="4" tint="-0.499984740745262"/>
      <name val="Calibri"/>
      <family val="2"/>
      <scheme val="minor"/>
    </font>
    <font>
      <b/>
      <sz val="8"/>
      <color rgb="FFFF0000"/>
      <name val="Calibri"/>
      <family val="2"/>
      <scheme val="minor"/>
    </font>
    <font>
      <b/>
      <sz val="10"/>
      <color theme="0"/>
      <name val="Arial"/>
      <family val="2"/>
    </font>
    <font>
      <b/>
      <sz val="16"/>
      <color theme="0"/>
      <name val="Arial"/>
      <family val="2"/>
    </font>
    <font>
      <sz val="10"/>
      <color theme="0"/>
      <name val="Arial"/>
      <family val="2"/>
    </font>
    <font>
      <b/>
      <sz val="10"/>
      <color rgb="FF0070C0"/>
      <name val="Arial"/>
      <family val="2"/>
    </font>
    <font>
      <b/>
      <sz val="9"/>
      <color rgb="FF0070C0"/>
      <name val="Arial"/>
      <family val="2"/>
    </font>
    <font>
      <sz val="10"/>
      <color rgb="FF0070C0"/>
      <name val="Arial"/>
      <family val="2"/>
    </font>
    <font>
      <sz val="8"/>
      <color theme="0"/>
      <name val="Arial"/>
      <family val="2"/>
    </font>
    <font>
      <i/>
      <sz val="8"/>
      <color theme="9" tint="-0.499984740745262"/>
      <name val="Calibri"/>
      <family val="2"/>
      <scheme val="minor"/>
    </font>
    <font>
      <b/>
      <sz val="8"/>
      <color theme="8" tint="-0.499984740745262"/>
      <name val="Calibri"/>
      <family val="2"/>
      <scheme val="minor"/>
    </font>
    <font>
      <sz val="8"/>
      <color theme="8" tint="-0.499984740745262"/>
      <name val="Calibri"/>
      <family val="2"/>
      <scheme val="minor"/>
    </font>
    <font>
      <i/>
      <sz val="8"/>
      <name val="Arial"/>
      <family val="2"/>
    </font>
    <font>
      <sz val="9"/>
      <color theme="1"/>
      <name val="Arial"/>
      <family val="2"/>
    </font>
    <font>
      <i/>
      <sz val="9"/>
      <color theme="1"/>
      <name val="Arial"/>
      <family val="2"/>
    </font>
    <font>
      <sz val="8"/>
      <color theme="0" tint="-0.499984740745262"/>
      <name val="Arial"/>
      <family val="2"/>
    </font>
    <font>
      <sz val="8"/>
      <color theme="1"/>
      <name val="Calibri"/>
      <family val="2"/>
      <scheme val="minor"/>
    </font>
    <font>
      <b/>
      <sz val="11"/>
      <color rgb="FFFF0000"/>
      <name val="Calibri"/>
      <family val="2"/>
      <scheme val="minor"/>
    </font>
    <font>
      <sz val="8"/>
      <color rgb="FFFF0000"/>
      <name val="Calibri"/>
      <family val="2"/>
      <scheme val="minor"/>
    </font>
    <font>
      <u/>
      <sz val="8"/>
      <color theme="10"/>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70C0"/>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39997558519241921"/>
        <bgColor indexed="64"/>
      </patternFill>
    </fill>
  </fills>
  <borders count="130">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theme="6" tint="-0.499984740745262"/>
      </left>
      <right style="thin">
        <color theme="6" tint="-0.499984740745262"/>
      </right>
      <top style="thin">
        <color theme="6" tint="-0.499984740745262"/>
      </top>
      <bottom style="hair">
        <color theme="6" tint="-0.499984740745262"/>
      </bottom>
      <diagonal/>
    </border>
    <border>
      <left style="thin">
        <color theme="6" tint="-0.499984740745262"/>
      </left>
      <right style="thin">
        <color theme="6" tint="-0.499984740745262"/>
      </right>
      <top style="thin">
        <color theme="6" tint="-0.499984740745262"/>
      </top>
      <bottom style="hair">
        <color theme="6" tint="-0.499984740745262"/>
      </bottom>
      <diagonal/>
    </border>
    <border>
      <left style="medium">
        <color theme="6" tint="-0.499984740745262"/>
      </left>
      <right style="thin">
        <color theme="6" tint="-0.499984740745262"/>
      </right>
      <top style="hair">
        <color theme="6" tint="-0.499984740745262"/>
      </top>
      <bottom style="hair">
        <color theme="6" tint="-0.499984740745262"/>
      </bottom>
      <diagonal/>
    </border>
    <border>
      <left style="thin">
        <color theme="6" tint="-0.499984740745262"/>
      </left>
      <right style="thin">
        <color theme="6" tint="-0.499984740745262"/>
      </right>
      <top style="hair">
        <color theme="6" tint="-0.499984740745262"/>
      </top>
      <bottom style="hair">
        <color theme="6" tint="-0.499984740745262"/>
      </bottom>
      <diagonal/>
    </border>
    <border>
      <left style="thin">
        <color theme="6" tint="-0.499984740745262"/>
      </left>
      <right style="medium">
        <color theme="6" tint="-0.499984740745262"/>
      </right>
      <top style="hair">
        <color theme="6" tint="-0.499984740745262"/>
      </top>
      <bottom style="hair">
        <color theme="6" tint="-0.499984740745262"/>
      </bottom>
      <diagonal/>
    </border>
    <border>
      <left style="medium">
        <color theme="6" tint="-0.499984740745262"/>
      </left>
      <right style="thin">
        <color theme="6" tint="-0.499984740745262"/>
      </right>
      <top style="hair">
        <color theme="6" tint="-0.499984740745262"/>
      </top>
      <bottom/>
      <diagonal/>
    </border>
    <border>
      <left style="thin">
        <color theme="6" tint="-0.499984740745262"/>
      </left>
      <right style="thin">
        <color theme="6" tint="-0.499984740745262"/>
      </right>
      <top style="hair">
        <color theme="6" tint="-0.499984740745262"/>
      </top>
      <bottom/>
      <diagonal/>
    </border>
    <border>
      <left style="thin">
        <color theme="6" tint="-0.499984740745262"/>
      </left>
      <right style="medium">
        <color theme="6" tint="-0.499984740745262"/>
      </right>
      <top style="hair">
        <color theme="6" tint="-0.499984740745262"/>
      </top>
      <bottom/>
      <diagonal/>
    </border>
    <border>
      <left/>
      <right style="thin">
        <color theme="6" tint="-0.499984740745262"/>
      </right>
      <top/>
      <bottom style="hair">
        <color theme="6" tint="-0.499984740745262"/>
      </bottom>
      <diagonal/>
    </border>
    <border>
      <left/>
      <right style="thin">
        <color theme="6" tint="-0.499984740745262"/>
      </right>
      <top style="hair">
        <color theme="6" tint="-0.499984740745262"/>
      </top>
      <bottom style="hair">
        <color theme="6" tint="-0.499984740745262"/>
      </bottom>
      <diagonal/>
    </border>
    <border>
      <left/>
      <right style="thin">
        <color theme="6" tint="-0.499984740745262"/>
      </right>
      <top style="hair">
        <color theme="6" tint="-0.499984740745262"/>
      </top>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theme="6" tint="-0.499984740745262"/>
      </right>
      <top style="thin">
        <color theme="6" tint="-0.499984740745262"/>
      </top>
      <bottom style="hair">
        <color theme="6" tint="-0.499984740745262"/>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thin">
        <color rgb="FF0070C0"/>
      </left>
      <right/>
      <top style="medium">
        <color rgb="FF0070C0"/>
      </top>
      <bottom/>
      <diagonal/>
    </border>
    <border>
      <left/>
      <right/>
      <top style="medium">
        <color rgb="FF0070C0"/>
      </top>
      <bottom/>
      <diagonal/>
    </border>
    <border>
      <left/>
      <right style="thin">
        <color rgb="FF0070C0"/>
      </right>
      <top style="medium">
        <color rgb="FF0070C0"/>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70C0"/>
      </left>
      <right style="medium">
        <color rgb="FF0070C0"/>
      </right>
      <top/>
      <bottom/>
      <diagonal/>
    </border>
    <border>
      <left style="medium">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indexed="64"/>
      </left>
      <right/>
      <top/>
      <bottom style="medium">
        <color rgb="FF0070C0"/>
      </bottom>
      <diagonal/>
    </border>
    <border>
      <left/>
      <right/>
      <top/>
      <bottom style="medium">
        <color rgb="FF0070C0"/>
      </bottom>
      <diagonal/>
    </border>
    <border>
      <left/>
      <right style="medium">
        <color rgb="FF0070C0"/>
      </right>
      <top style="medium">
        <color rgb="FF0070C0"/>
      </top>
      <bottom/>
      <diagonal/>
    </border>
    <border>
      <left style="thin">
        <color rgb="FF0070C0"/>
      </left>
      <right style="thin">
        <color rgb="FF0070C0"/>
      </right>
      <top style="medium">
        <color rgb="FF0070C0"/>
      </top>
      <bottom/>
      <diagonal/>
    </border>
    <border>
      <left style="thin">
        <color rgb="FF0070C0"/>
      </left>
      <right style="thin">
        <color rgb="FF0070C0"/>
      </right>
      <top/>
      <bottom/>
      <diagonal/>
    </border>
    <border>
      <left style="thin">
        <color rgb="FF0070C0"/>
      </left>
      <right style="medium">
        <color rgb="FF0070C0"/>
      </right>
      <top style="medium">
        <color rgb="FF0070C0"/>
      </top>
      <bottom/>
      <diagonal/>
    </border>
    <border>
      <left style="thin">
        <color rgb="FF0070C0"/>
      </left>
      <right style="thin">
        <color rgb="FF0070C0"/>
      </right>
      <top style="medium">
        <color rgb="FF0070C0"/>
      </top>
      <bottom style="medium">
        <color rgb="FF0070C0"/>
      </bottom>
      <diagonal/>
    </border>
    <border>
      <left style="thin">
        <color rgb="FF0070C0"/>
      </left>
      <right/>
      <top style="medium">
        <color rgb="FF0070C0"/>
      </top>
      <bottom style="medium">
        <color rgb="FF0070C0"/>
      </bottom>
      <diagonal/>
    </border>
    <border>
      <left style="hair">
        <color theme="6" tint="-0.499984740745262"/>
      </left>
      <right style="thin">
        <color theme="6" tint="-0.499984740745262"/>
      </right>
      <top style="hair">
        <color theme="6" tint="-0.499984740745262"/>
      </top>
      <bottom style="hair">
        <color theme="6" tint="-0.499984740745262"/>
      </bottom>
      <diagonal/>
    </border>
    <border>
      <left style="hair">
        <color theme="6" tint="-0.499984740745262"/>
      </left>
      <right style="thin">
        <color theme="6" tint="-0.499984740745262"/>
      </right>
      <top style="hair">
        <color theme="6" tint="-0.499984740745262"/>
      </top>
      <bottom/>
      <diagonal/>
    </border>
    <border>
      <left/>
      <right style="medium">
        <color rgb="FF0070C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6" tint="-0.499984740745262"/>
      </left>
      <right style="thin">
        <color theme="6" tint="-0.499984740745262"/>
      </right>
      <top style="thin">
        <color theme="6" tint="-0.499984740745262"/>
      </top>
      <bottom style="hair">
        <color theme="6" tint="-0.499984740745262"/>
      </bottom>
      <diagonal/>
    </border>
    <border>
      <left/>
      <right style="thin">
        <color theme="6" tint="-0.499984740745262"/>
      </right>
      <top/>
      <bottom style="thin">
        <color theme="6" tint="-0.499984740745262"/>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style="medium">
        <color theme="8" tint="-0.499984740745262"/>
      </bottom>
      <diagonal/>
    </border>
    <border>
      <left/>
      <right style="thin">
        <color theme="8" tint="-0.499984740745262"/>
      </right>
      <top style="medium">
        <color theme="8" tint="-0.499984740745262"/>
      </top>
      <bottom style="medium">
        <color theme="8" tint="-0.499984740745262"/>
      </bottom>
      <diagonal/>
    </border>
    <border>
      <left style="thin">
        <color theme="8" tint="-0.499984740745262"/>
      </left>
      <right style="medium">
        <color theme="8" tint="-0.499984740745262"/>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style="hair">
        <color indexed="64"/>
      </top>
      <bottom style="hair">
        <color indexed="64"/>
      </bottom>
      <diagonal/>
    </border>
    <border>
      <left style="medium">
        <color theme="8" tint="-0.499984740745262"/>
      </left>
      <right style="medium">
        <color theme="8" tint="-0.499984740745262"/>
      </right>
      <top style="hair">
        <color indexed="64"/>
      </top>
      <bottom/>
      <diagonal/>
    </border>
    <border>
      <left style="medium">
        <color theme="8" tint="-0.499984740745262"/>
      </left>
      <right/>
      <top style="medium">
        <color theme="8" tint="-0.499984740745262"/>
      </top>
      <bottom style="medium">
        <color theme="8" tint="-0.499984740745262"/>
      </bottom>
      <diagonal/>
    </border>
    <border>
      <left style="thin">
        <color theme="8" tint="-0.499984740745262"/>
      </left>
      <right style="thin">
        <color theme="8" tint="-0.499984740745262"/>
      </right>
      <top style="hair">
        <color theme="4" tint="-0.499984740745262"/>
      </top>
      <bottom style="hair">
        <color theme="4" tint="-0.499984740745262"/>
      </bottom>
      <diagonal/>
    </border>
    <border>
      <left style="thin">
        <color theme="8" tint="-0.499984740745262"/>
      </left>
      <right style="thin">
        <color theme="8" tint="-0.499984740745262"/>
      </right>
      <top style="hair">
        <color theme="4" tint="-0.499984740745262"/>
      </top>
      <bottom/>
      <diagonal/>
    </border>
    <border>
      <left style="medium">
        <color theme="8" tint="-0.499984740745262"/>
      </left>
      <right style="medium">
        <color theme="8" tint="-0.499984740745262"/>
      </right>
      <top/>
      <bottom style="hair">
        <color indexed="64"/>
      </bottom>
      <diagonal/>
    </border>
    <border>
      <left style="thin">
        <color theme="8" tint="-0.499984740745262"/>
      </left>
      <right style="thin">
        <color theme="8" tint="-0.499984740745262"/>
      </right>
      <top/>
      <bottom style="hair">
        <color theme="4" tint="-0.499984740745262"/>
      </bottom>
      <diagonal/>
    </border>
    <border>
      <left style="medium">
        <color theme="8" tint="-0.499984740745262"/>
      </left>
      <right style="medium">
        <color theme="8" tint="-0.499984740745262"/>
      </right>
      <top/>
      <bottom style="thin">
        <color theme="8" tint="-0.499984740745262"/>
      </bottom>
      <diagonal/>
    </border>
    <border>
      <left/>
      <right/>
      <top style="medium">
        <color theme="8" tint="-0.499984740745262"/>
      </top>
      <bottom style="medium">
        <color theme="8" tint="-0.499984740745262"/>
      </bottom>
      <diagonal/>
    </border>
    <border>
      <left/>
      <right/>
      <top/>
      <bottom style="thin">
        <color theme="8" tint="-0.499984740745262"/>
      </bottom>
      <diagonal/>
    </border>
    <border>
      <left/>
      <right/>
      <top/>
      <bottom style="hair">
        <color theme="4" tint="-0.499984740745262"/>
      </bottom>
      <diagonal/>
    </border>
    <border>
      <left/>
      <right/>
      <top style="hair">
        <color theme="4" tint="-0.499984740745262"/>
      </top>
      <bottom style="hair">
        <color theme="4" tint="-0.499984740745262"/>
      </bottom>
      <diagonal/>
    </border>
    <border>
      <left/>
      <right/>
      <top style="hair">
        <color theme="4" tint="-0.499984740745262"/>
      </top>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theme="8" tint="-0.499984740745262"/>
      </right>
      <top/>
      <bottom style="hair">
        <color theme="4" tint="-0.499984740745262"/>
      </bottom>
      <diagonal/>
    </border>
    <border>
      <left style="thin">
        <color theme="8" tint="-0.499984740745262"/>
      </left>
      <right style="medium">
        <color theme="8" tint="-0.499984740745262"/>
      </right>
      <top style="hair">
        <color theme="4" tint="-0.499984740745262"/>
      </top>
      <bottom style="hair">
        <color theme="4" tint="-0.499984740745262"/>
      </bottom>
      <diagonal/>
    </border>
    <border>
      <left style="thin">
        <color theme="8" tint="-0.499984740745262"/>
      </left>
      <right style="medium">
        <color theme="8" tint="-0.499984740745262"/>
      </right>
      <top style="hair">
        <color theme="4" tint="-0.499984740745262"/>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theme="8" tint="-0.499984740745262"/>
      </left>
      <right style="thin">
        <color theme="8" tint="-0.499984740745262"/>
      </right>
      <top/>
      <bottom style="hair">
        <color indexed="64"/>
      </bottom>
      <diagonal/>
    </border>
    <border>
      <left style="thin">
        <color theme="8" tint="-0.499984740745262"/>
      </left>
      <right style="thin">
        <color theme="8" tint="-0.499984740745262"/>
      </right>
      <top style="hair">
        <color indexed="64"/>
      </top>
      <bottom style="hair">
        <color indexed="64"/>
      </bottom>
      <diagonal/>
    </border>
    <border>
      <left style="thin">
        <color theme="8" tint="-0.499984740745262"/>
      </left>
      <right style="thin">
        <color theme="8" tint="-0.499984740745262"/>
      </right>
      <top style="hair">
        <color indexed="64"/>
      </top>
      <bottom/>
      <diagonal/>
    </border>
    <border>
      <left/>
      <right style="thin">
        <color theme="8" tint="-0.499984740745262"/>
      </right>
      <top style="medium">
        <color theme="8" tint="-0.499984740745262"/>
      </top>
      <bottom style="thin">
        <color theme="8" tint="-0.499984740745262"/>
      </bottom>
      <diagonal/>
    </border>
    <border>
      <left/>
      <right style="medium">
        <color theme="8" tint="-0.499984740745262"/>
      </right>
      <top/>
      <bottom style="hair">
        <color indexed="64"/>
      </bottom>
      <diagonal/>
    </border>
    <border>
      <left/>
      <right style="medium">
        <color theme="8" tint="-0.499984740745262"/>
      </right>
      <top style="hair">
        <color indexed="64"/>
      </top>
      <bottom style="hair">
        <color indexed="64"/>
      </bottom>
      <diagonal/>
    </border>
    <border>
      <left/>
      <right style="medium">
        <color theme="8" tint="-0.499984740745262"/>
      </right>
      <top style="hair">
        <color indexed="64"/>
      </top>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thin">
        <color theme="6" tint="-0.499984740745262"/>
      </right>
      <top/>
      <bottom style="thin">
        <color theme="6" tint="-0.499984740745262"/>
      </bottom>
      <diagonal/>
    </border>
    <border>
      <left style="thin">
        <color theme="6" tint="-0.499984740745262"/>
      </left>
      <right style="medium">
        <color theme="6" tint="-0.499984740745262"/>
      </right>
      <top/>
      <bottom style="thin">
        <color theme="6" tint="-0.499984740745262"/>
      </bottom>
      <diagonal/>
    </border>
    <border>
      <left/>
      <right/>
      <top/>
      <bottom style="thin">
        <color theme="6" tint="-0.499984740745262"/>
      </bottom>
      <diagonal/>
    </border>
    <border>
      <left style="medium">
        <color theme="6" tint="-0.499984740745262"/>
      </left>
      <right style="medium">
        <color theme="6" tint="-0.499984740745262"/>
      </right>
      <top style="medium">
        <color theme="6" tint="-0.499984740745262"/>
      </top>
      <bottom style="thin">
        <color theme="6" tint="-0.499984740745262"/>
      </bottom>
      <diagonal/>
    </border>
    <border>
      <left style="medium">
        <color theme="6" tint="-0.499984740745262"/>
      </left>
      <right style="medium">
        <color theme="6" tint="-0.499984740745262"/>
      </right>
      <top style="thin">
        <color theme="6" tint="-0.499984740745262"/>
      </top>
      <bottom style="hair">
        <color theme="6" tint="-0.499984740745262"/>
      </bottom>
      <diagonal/>
    </border>
    <border>
      <left style="medium">
        <color theme="6" tint="-0.499984740745262"/>
      </left>
      <right style="medium">
        <color theme="6" tint="-0.499984740745262"/>
      </right>
      <top style="hair">
        <color theme="6" tint="-0.499984740745262"/>
      </top>
      <bottom style="hair">
        <color theme="6" tint="-0.499984740745262"/>
      </bottom>
      <diagonal/>
    </border>
    <border>
      <left style="medium">
        <color theme="6" tint="-0.499984740745262"/>
      </left>
      <right style="medium">
        <color theme="6" tint="-0.499984740745262"/>
      </right>
      <top style="hair">
        <color indexed="64"/>
      </top>
      <bottom style="hair">
        <color indexed="64"/>
      </bottom>
      <diagonal/>
    </border>
    <border>
      <left style="medium">
        <color theme="6" tint="-0.499984740745262"/>
      </left>
      <right style="medium">
        <color theme="6" tint="-0.499984740745262"/>
      </right>
      <top style="hair">
        <color theme="6" tint="-0.499984740745262"/>
      </top>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thin">
        <color theme="6" tint="-0.499984740745262"/>
      </left>
      <right style="thin">
        <color theme="6" tint="-0.499984740745262"/>
      </right>
      <top style="medium">
        <color theme="6" tint="-0.499984740745262"/>
      </top>
      <bottom style="medium">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thin">
        <color theme="6" tint="-0.499984740745262"/>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hair">
        <color theme="6" tint="-0.499984740745262"/>
      </left>
      <right style="thin">
        <color theme="6" tint="-0.499984740745262"/>
      </right>
      <top style="medium">
        <color theme="6" tint="-0.499984740745262"/>
      </top>
      <bottom style="medium">
        <color theme="6" tint="-0.499984740745262"/>
      </bottom>
      <diagonal/>
    </border>
    <border>
      <left style="thin">
        <color theme="6" tint="-0.499984740745262"/>
      </left>
      <right style="medium">
        <color theme="6" tint="-0.499984740745262"/>
      </right>
      <top style="medium">
        <color theme="6" tint="-0.499984740745262"/>
      </top>
      <bottom style="thin">
        <color theme="6" tint="-0.499984740745262"/>
      </bottom>
      <diagonal/>
    </border>
    <border>
      <left/>
      <right/>
      <top style="medium">
        <color theme="6" tint="-0.499984740745262"/>
      </top>
      <bottom style="medium">
        <color theme="6" tint="-0.499984740745262"/>
      </bottom>
      <diagonal/>
    </border>
    <border>
      <left style="hair">
        <color theme="8" tint="-0.499984740745262"/>
      </left>
      <right style="medium">
        <color theme="8" tint="-0.499984740745262"/>
      </right>
      <top style="medium">
        <color theme="8" tint="-0.499984740745262"/>
      </top>
      <bottom style="thin">
        <color theme="8" tint="-0.499984740745262"/>
      </bottom>
      <diagonal/>
    </border>
    <border>
      <left style="medium">
        <color theme="6" tint="-0.499984740745262"/>
      </left>
      <right/>
      <top style="hair">
        <color theme="6" tint="-0.499984740745262"/>
      </top>
      <bottom style="hair">
        <color theme="6" tint="-0.499984740745262"/>
      </bottom>
      <diagonal/>
    </border>
    <border>
      <left style="medium">
        <color theme="6" tint="-0.499984740745262"/>
      </left>
      <right/>
      <top style="hair">
        <color theme="6" tint="-0.499984740745262"/>
      </top>
      <bottom/>
      <diagonal/>
    </border>
    <border>
      <left style="medium">
        <color theme="6" tint="-0.499984740745262"/>
      </left>
      <right/>
      <top style="medium">
        <color theme="6" tint="-0.499984740745262"/>
      </top>
      <bottom style="medium">
        <color theme="6" tint="-0.499984740745262"/>
      </bottom>
      <diagonal/>
    </border>
    <border>
      <left style="medium">
        <color theme="6" tint="-0.499984740745262"/>
      </left>
      <right/>
      <top style="thin">
        <color theme="6" tint="-0.499984740745262"/>
      </top>
      <bottom style="hair">
        <color theme="6" tint="-0.499984740745262"/>
      </bottom>
      <diagonal/>
    </border>
    <border>
      <left style="hair">
        <color theme="8" tint="-0.499984740745262"/>
      </left>
      <right style="thin">
        <color theme="8" tint="-0.499984740745262"/>
      </right>
      <top/>
      <bottom style="thin">
        <color theme="8" tint="-0.499984740745262"/>
      </bottom>
      <diagonal/>
    </border>
    <border>
      <left/>
      <right style="thin">
        <color theme="6" tint="-0.499984740745262"/>
      </right>
      <top style="medium">
        <color theme="8" tint="-0.499984740745262"/>
      </top>
      <bottom style="medium">
        <color theme="8" tint="-0.499984740745262"/>
      </bottom>
      <diagonal/>
    </border>
    <border>
      <left/>
      <right style="thin">
        <color theme="8" tint="-0.499984740745262"/>
      </right>
      <top/>
      <bottom style="hair">
        <color theme="4" tint="-0.499984740745262"/>
      </bottom>
      <diagonal/>
    </border>
    <border>
      <left/>
      <right style="thin">
        <color theme="8" tint="-0.499984740745262"/>
      </right>
      <top style="hair">
        <color theme="4" tint="-0.499984740745262"/>
      </top>
      <bottom style="hair">
        <color theme="4" tint="-0.499984740745262"/>
      </bottom>
      <diagonal/>
    </border>
    <border>
      <left/>
      <right style="thin">
        <color theme="8" tint="-0.499984740745262"/>
      </right>
      <top style="hair">
        <color theme="4" tint="-0.499984740745262"/>
      </top>
      <bottom/>
      <diagonal/>
    </border>
    <border>
      <left style="thin">
        <color theme="8" tint="-0.499984740745262"/>
      </left>
      <right style="thin">
        <color theme="8" tint="-0.499984740745262"/>
      </right>
      <top style="thin">
        <color theme="8" tint="-0.499984740745262"/>
      </top>
      <bottom style="hair">
        <color indexed="64"/>
      </bottom>
      <diagonal/>
    </border>
    <border>
      <left/>
      <right style="thin">
        <color theme="8" tint="-0.499984740745262"/>
      </right>
      <top/>
      <bottom style="thin">
        <color theme="8" tint="-0.499984740745262"/>
      </bottom>
      <diagonal/>
    </border>
    <border>
      <left/>
      <right style="medium">
        <color theme="6" tint="-0.499984740745262"/>
      </right>
      <top style="medium">
        <color theme="6" tint="-0.499984740745262"/>
      </top>
      <bottom style="thin">
        <color theme="6" tint="-0.499984740745262"/>
      </bottom>
      <diagonal/>
    </border>
    <border>
      <left style="thin">
        <color theme="8" tint="-0.499984740745262"/>
      </left>
      <right style="thin">
        <color theme="8" tint="-0.499984740745262"/>
      </right>
      <top style="medium">
        <color theme="8" tint="-0.499984740745262"/>
      </top>
      <bottom style="thin">
        <color theme="6" tint="-0.499984740745262"/>
      </bottom>
      <diagonal/>
    </border>
    <border>
      <left/>
      <right style="medium">
        <color rgb="FF0070C0"/>
      </right>
      <top/>
      <bottom style="medium">
        <color rgb="FF0070C0"/>
      </bottom>
      <diagonal/>
    </border>
    <border>
      <left style="medium">
        <color rgb="FF0070C0"/>
      </left>
      <right style="medium">
        <color rgb="FF0070C0"/>
      </right>
      <top style="medium">
        <color rgb="FF0070C0"/>
      </top>
      <bottom style="thin">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s>
  <cellStyleXfs count="7">
    <xf numFmtId="0" fontId="0" fillId="0" borderId="0"/>
    <xf numFmtId="9" fontId="2" fillId="0" borderId="0" applyFont="0" applyFill="0" applyBorder="0" applyAlignment="0" applyProtection="0"/>
    <xf numFmtId="0" fontId="12" fillId="0" borderId="0" applyNumberFormat="0" applyFill="0" applyBorder="0" applyAlignment="0" applyProtection="0"/>
    <xf numFmtId="164" fontId="14" fillId="0" borderId="0" applyFont="0" applyFill="0" applyBorder="0" applyAlignment="0" applyProtection="0"/>
    <xf numFmtId="0" fontId="2" fillId="0" borderId="0"/>
    <xf numFmtId="0" fontId="1" fillId="0" borderId="0"/>
    <xf numFmtId="0" fontId="1" fillId="0" borderId="0"/>
  </cellStyleXfs>
  <cellXfs count="427">
    <xf numFmtId="0" fontId="0" fillId="0" borderId="0" xfId="0"/>
    <xf numFmtId="0" fontId="3" fillId="2" borderId="0" xfId="0" applyFont="1" applyFill="1" applyBorder="1" applyAlignment="1"/>
    <xf numFmtId="0" fontId="4" fillId="2" borderId="0" xfId="0" applyFont="1" applyFill="1" applyAlignment="1">
      <alignment wrapText="1"/>
    </xf>
    <xf numFmtId="0" fontId="4" fillId="2" borderId="0" xfId="0" applyFont="1" applyFill="1" applyBorder="1" applyAlignment="1">
      <alignment wrapText="1"/>
    </xf>
    <xf numFmtId="0" fontId="4" fillId="0" borderId="0" xfId="0" applyFont="1"/>
    <xf numFmtId="0" fontId="0" fillId="0" borderId="0" xfId="0" applyFill="1"/>
    <xf numFmtId="0" fontId="4" fillId="0" borderId="0" xfId="0" applyFont="1" applyAlignment="1">
      <alignment wrapText="1"/>
    </xf>
    <xf numFmtId="0" fontId="0" fillId="3" borderId="0" xfId="0" applyFill="1"/>
    <xf numFmtId="0" fontId="3" fillId="0" borderId="0"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13" fillId="2" borderId="0" xfId="0" applyFont="1" applyFill="1"/>
    <xf numFmtId="0" fontId="15" fillId="3" borderId="0" xfId="0" applyFont="1" applyFill="1"/>
    <xf numFmtId="0" fontId="15" fillId="3" borderId="0" xfId="0" applyFont="1" applyFill="1" applyBorder="1"/>
    <xf numFmtId="0" fontId="4" fillId="2" borderId="0" xfId="0" applyFont="1" applyFill="1" applyBorder="1" applyAlignment="1">
      <alignment horizontal="left" wrapText="1"/>
    </xf>
    <xf numFmtId="167" fontId="15" fillId="3" borderId="0" xfId="0" applyNumberFormat="1" applyFont="1" applyFill="1"/>
    <xf numFmtId="9" fontId="15" fillId="3" borderId="0" xfId="1" applyFont="1" applyFill="1"/>
    <xf numFmtId="9" fontId="20" fillId="3" borderId="0" xfId="1" applyFont="1" applyFill="1"/>
    <xf numFmtId="166" fontId="20" fillId="3" borderId="0" xfId="1" applyNumberFormat="1" applyFont="1" applyFill="1"/>
    <xf numFmtId="0" fontId="2" fillId="3" borderId="0" xfId="0" applyFont="1" applyFill="1"/>
    <xf numFmtId="0" fontId="2" fillId="0" borderId="0" xfId="0" applyFont="1"/>
    <xf numFmtId="0" fontId="2" fillId="2" borderId="0" xfId="0" applyFont="1" applyFill="1"/>
    <xf numFmtId="0" fontId="2" fillId="2" borderId="0" xfId="0" quotePrefix="1" applyFont="1" applyFill="1"/>
    <xf numFmtId="0" fontId="2" fillId="2" borderId="0" xfId="0" applyFont="1" applyFill="1" applyProtection="1">
      <protection locked="0"/>
    </xf>
    <xf numFmtId="0" fontId="2" fillId="2" borderId="0" xfId="0" applyFont="1" applyFill="1" applyBorder="1"/>
    <xf numFmtId="9" fontId="2" fillId="3" borderId="0" xfId="1" applyFont="1" applyFill="1"/>
    <xf numFmtId="0" fontId="2" fillId="0" borderId="6" xfId="0" applyNumberFormat="1" applyFont="1" applyBorder="1" applyProtection="1">
      <protection locked="0"/>
    </xf>
    <xf numFmtId="0" fontId="15" fillId="3" borderId="0" xfId="0" applyFont="1" applyFill="1" applyAlignment="1">
      <alignment vertical="center"/>
    </xf>
    <xf numFmtId="0" fontId="18" fillId="3" borderId="0" xfId="0" applyFont="1" applyFill="1" applyBorder="1" applyAlignment="1">
      <alignment vertical="center" wrapText="1"/>
    </xf>
    <xf numFmtId="167" fontId="18" fillId="3" borderId="0" xfId="3" applyNumberFormat="1" applyFont="1" applyFill="1" applyBorder="1" applyAlignment="1">
      <alignment vertical="center"/>
    </xf>
    <xf numFmtId="167" fontId="18" fillId="3" borderId="0" xfId="3" applyNumberFormat="1" applyFont="1" applyFill="1" applyBorder="1" applyAlignment="1">
      <alignment horizontal="right" vertical="center"/>
    </xf>
    <xf numFmtId="0" fontId="15" fillId="3" borderId="0" xfId="0" applyFont="1" applyFill="1" applyBorder="1" applyAlignment="1">
      <alignment vertical="center"/>
    </xf>
    <xf numFmtId="0" fontId="19" fillId="3" borderId="0" xfId="0" applyFont="1" applyFill="1" applyAlignment="1">
      <alignment vertical="center"/>
    </xf>
    <xf numFmtId="0" fontId="16" fillId="3" borderId="0" xfId="0" applyFont="1" applyFill="1" applyAlignment="1">
      <alignment vertical="center"/>
    </xf>
    <xf numFmtId="0" fontId="17" fillId="3" borderId="0" xfId="0" applyFont="1" applyFill="1" applyAlignment="1">
      <alignment horizontal="center" vertical="center"/>
    </xf>
    <xf numFmtId="167" fontId="28" fillId="3" borderId="0" xfId="0" applyNumberFormat="1" applyFont="1" applyFill="1"/>
    <xf numFmtId="1" fontId="18" fillId="3" borderId="0" xfId="3" applyNumberFormat="1" applyFont="1" applyFill="1" applyBorder="1" applyAlignment="1">
      <alignment vertical="center"/>
    </xf>
    <xf numFmtId="1" fontId="15" fillId="3" borderId="0" xfId="0" applyNumberFormat="1" applyFont="1" applyFill="1" applyBorder="1" applyAlignment="1">
      <alignment vertical="center"/>
    </xf>
    <xf numFmtId="0" fontId="32" fillId="3" borderId="21" xfId="0" applyFont="1" applyFill="1" applyBorder="1" applyAlignment="1">
      <alignment wrapText="1"/>
    </xf>
    <xf numFmtId="0" fontId="32" fillId="3" borderId="22" xfId="0" applyFont="1" applyFill="1" applyBorder="1" applyAlignment="1">
      <alignment wrapText="1"/>
    </xf>
    <xf numFmtId="0" fontId="33" fillId="3" borderId="22" xfId="0" applyFont="1" applyFill="1" applyBorder="1" applyAlignment="1">
      <alignment wrapText="1"/>
    </xf>
    <xf numFmtId="0" fontId="33" fillId="3" borderId="23" xfId="0" applyFont="1" applyFill="1" applyBorder="1" applyAlignment="1">
      <alignment wrapText="1"/>
    </xf>
    <xf numFmtId="0" fontId="32" fillId="3" borderId="30" xfId="0" applyFont="1" applyFill="1" applyBorder="1" applyAlignment="1">
      <alignment wrapText="1"/>
    </xf>
    <xf numFmtId="0" fontId="32" fillId="3" borderId="31" xfId="0" applyFont="1" applyFill="1" applyBorder="1" applyAlignment="1">
      <alignment wrapText="1"/>
    </xf>
    <xf numFmtId="0" fontId="26" fillId="2" borderId="0" xfId="0" applyFont="1" applyFill="1"/>
    <xf numFmtId="0" fontId="3" fillId="9" borderId="29" xfId="0" applyFont="1" applyFill="1" applyBorder="1" applyAlignment="1">
      <alignment wrapText="1"/>
    </xf>
    <xf numFmtId="0" fontId="2" fillId="9" borderId="1" xfId="0" applyFont="1" applyFill="1" applyBorder="1" applyAlignment="1"/>
    <xf numFmtId="0" fontId="23" fillId="9" borderId="21" xfId="0" applyFont="1" applyFill="1" applyBorder="1"/>
    <xf numFmtId="0" fontId="21" fillId="9" borderId="21" xfId="0" applyFont="1" applyFill="1" applyBorder="1" applyAlignment="1">
      <alignment horizontal="center"/>
    </xf>
    <xf numFmtId="0" fontId="23" fillId="3" borderId="0" xfId="0" applyFont="1" applyFill="1"/>
    <xf numFmtId="0" fontId="23" fillId="3" borderId="0" xfId="0" applyFont="1" applyFill="1" applyAlignment="1">
      <alignment wrapText="1"/>
    </xf>
    <xf numFmtId="0" fontId="27" fillId="3" borderId="0" xfId="0" applyFont="1" applyFill="1"/>
    <xf numFmtId="0" fontId="27" fillId="3" borderId="0" xfId="0" applyFont="1" applyFill="1" applyAlignment="1">
      <alignment wrapText="1"/>
    </xf>
    <xf numFmtId="167" fontId="17" fillId="0" borderId="7" xfId="3" applyNumberFormat="1" applyFont="1" applyFill="1" applyBorder="1"/>
    <xf numFmtId="167" fontId="17" fillId="0" borderId="10" xfId="3" applyNumberFormat="1" applyFont="1" applyFill="1" applyBorder="1"/>
    <xf numFmtId="167" fontId="17" fillId="0" borderId="8" xfId="3" applyNumberFormat="1" applyFont="1" applyFill="1" applyBorder="1"/>
    <xf numFmtId="167" fontId="17" fillId="0" borderId="9" xfId="3" applyNumberFormat="1" applyFont="1" applyFill="1" applyBorder="1"/>
    <xf numFmtId="167" fontId="17" fillId="0" borderId="12" xfId="3" applyNumberFormat="1" applyFont="1" applyFill="1" applyBorder="1"/>
    <xf numFmtId="167" fontId="17" fillId="0" borderId="13" xfId="3" applyNumberFormat="1" applyFont="1" applyFill="1" applyBorder="1"/>
    <xf numFmtId="0" fontId="17" fillId="3" borderId="0" xfId="0" applyFont="1" applyFill="1" applyBorder="1"/>
    <xf numFmtId="167" fontId="29" fillId="5" borderId="64" xfId="3" applyNumberFormat="1" applyFont="1" applyFill="1" applyBorder="1" applyAlignment="1">
      <alignment vertical="center"/>
    </xf>
    <xf numFmtId="167" fontId="29" fillId="5" borderId="63" xfId="3" applyNumberFormat="1" applyFont="1" applyFill="1" applyBorder="1" applyAlignment="1">
      <alignment vertical="center"/>
    </xf>
    <xf numFmtId="167" fontId="29" fillId="5" borderId="65" xfId="3" applyNumberFormat="1" applyFont="1" applyFill="1" applyBorder="1" applyAlignment="1">
      <alignment vertical="center"/>
    </xf>
    <xf numFmtId="0" fontId="30" fillId="0" borderId="67" xfId="0" applyFont="1" applyFill="1" applyBorder="1"/>
    <xf numFmtId="0" fontId="30" fillId="0" borderId="68" xfId="0" applyFont="1" applyFill="1" applyBorder="1"/>
    <xf numFmtId="0" fontId="30" fillId="0" borderId="72" xfId="0" applyFont="1" applyFill="1" applyBorder="1"/>
    <xf numFmtId="0" fontId="30" fillId="5" borderId="74" xfId="0" applyFont="1" applyFill="1" applyBorder="1" applyAlignment="1">
      <alignment vertical="center" wrapText="1"/>
    </xf>
    <xf numFmtId="0" fontId="30" fillId="5" borderId="76" xfId="0" applyFont="1" applyFill="1" applyBorder="1" applyAlignment="1">
      <alignment horizontal="center" vertical="center" wrapText="1"/>
    </xf>
    <xf numFmtId="167" fontId="30" fillId="0" borderId="77" xfId="3" applyNumberFormat="1" applyFont="1" applyFill="1" applyBorder="1"/>
    <xf numFmtId="167" fontId="30" fillId="0" borderId="78" xfId="3" applyNumberFormat="1" applyFont="1" applyFill="1" applyBorder="1"/>
    <xf numFmtId="167" fontId="30" fillId="0" borderId="79" xfId="3" applyNumberFormat="1" applyFont="1" applyFill="1" applyBorder="1"/>
    <xf numFmtId="167" fontId="29" fillId="5" borderId="75" xfId="3" applyNumberFormat="1" applyFont="1" applyFill="1" applyBorder="1" applyAlignment="1">
      <alignment vertical="center"/>
    </xf>
    <xf numFmtId="0" fontId="30" fillId="5" borderId="80" xfId="0" applyFont="1" applyFill="1" applyBorder="1" applyAlignment="1">
      <alignment horizontal="center" vertical="center" wrapText="1"/>
    </xf>
    <xf numFmtId="167" fontId="30" fillId="0" borderId="73" xfId="3" applyNumberFormat="1" applyFont="1" applyFill="1" applyBorder="1"/>
    <xf numFmtId="167" fontId="30" fillId="0" borderId="70" xfId="3" applyNumberFormat="1" applyFont="1" applyFill="1" applyBorder="1"/>
    <xf numFmtId="167" fontId="30" fillId="0" borderId="71" xfId="3" applyNumberFormat="1" applyFont="1" applyFill="1" applyBorder="1"/>
    <xf numFmtId="0" fontId="30" fillId="5" borderId="62" xfId="0" applyFont="1" applyFill="1" applyBorder="1" applyAlignment="1">
      <alignment horizontal="center" vertical="center" wrapText="1"/>
    </xf>
    <xf numFmtId="0" fontId="17" fillId="7" borderId="96" xfId="0" applyFont="1" applyFill="1" applyBorder="1" applyAlignment="1">
      <alignment horizontal="center" vertical="center" wrapText="1"/>
    </xf>
    <xf numFmtId="0" fontId="17" fillId="7" borderId="18" xfId="0" applyFont="1" applyFill="1" applyBorder="1" applyAlignment="1">
      <alignment horizontal="center" vertical="center" wrapText="1"/>
    </xf>
    <xf numFmtId="0" fontId="17" fillId="7" borderId="99" xfId="0" applyFont="1" applyFill="1" applyBorder="1" applyAlignment="1">
      <alignment horizontal="center" vertical="center" wrapText="1"/>
    </xf>
    <xf numFmtId="0" fontId="17" fillId="0" borderId="100" xfId="0" applyFont="1" applyFill="1" applyBorder="1"/>
    <xf numFmtId="0" fontId="17" fillId="0" borderId="101" xfId="0" applyFont="1" applyFill="1" applyBorder="1"/>
    <xf numFmtId="0" fontId="17" fillId="0" borderId="102" xfId="0" applyFont="1" applyFill="1" applyBorder="1"/>
    <xf numFmtId="0" fontId="17" fillId="0" borderId="103" xfId="0" applyFont="1" applyFill="1" applyBorder="1"/>
    <xf numFmtId="167" fontId="18" fillId="7" borderId="104" xfId="3" applyNumberFormat="1" applyFont="1" applyFill="1" applyBorder="1" applyAlignment="1">
      <alignment vertical="center"/>
    </xf>
    <xf numFmtId="167" fontId="18" fillId="7" borderId="105" xfId="3" applyNumberFormat="1" applyFont="1" applyFill="1" applyBorder="1" applyAlignment="1">
      <alignment vertical="center"/>
    </xf>
    <xf numFmtId="167" fontId="18" fillId="7" borderId="106" xfId="3" applyNumberFormat="1" applyFont="1" applyFill="1" applyBorder="1" applyAlignment="1">
      <alignment vertical="center"/>
    </xf>
    <xf numFmtId="167" fontId="18" fillId="7" borderId="107" xfId="3" applyNumberFormat="1" applyFont="1" applyFill="1" applyBorder="1" applyAlignment="1">
      <alignment vertical="center"/>
    </xf>
    <xf numFmtId="0" fontId="17" fillId="7" borderId="110"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17" fillId="3" borderId="110" xfId="0" applyFont="1" applyFill="1" applyBorder="1" applyAlignment="1">
      <alignment horizontal="center" vertical="center" wrapText="1"/>
    </xf>
    <xf numFmtId="167" fontId="30" fillId="3" borderId="73" xfId="3" applyNumberFormat="1" applyFont="1" applyFill="1" applyBorder="1"/>
    <xf numFmtId="167" fontId="30" fillId="3" borderId="70" xfId="3" applyNumberFormat="1" applyFont="1" applyFill="1" applyBorder="1"/>
    <xf numFmtId="167" fontId="30" fillId="3" borderId="71" xfId="3" applyNumberFormat="1" applyFont="1" applyFill="1" applyBorder="1"/>
    <xf numFmtId="167" fontId="17" fillId="3" borderId="10" xfId="3" applyNumberFormat="1" applyFont="1" applyFill="1" applyBorder="1"/>
    <xf numFmtId="167" fontId="17" fillId="3" borderId="13" xfId="3" applyNumberFormat="1" applyFont="1" applyFill="1" applyBorder="1"/>
    <xf numFmtId="0" fontId="3" fillId="3" borderId="0" xfId="4" applyFont="1" applyFill="1" applyBorder="1" applyAlignment="1">
      <alignment vertical="center" wrapText="1"/>
    </xf>
    <xf numFmtId="0" fontId="2" fillId="3" borderId="0" xfId="4" applyFill="1" applyAlignment="1">
      <alignment vertical="center"/>
    </xf>
    <xf numFmtId="0" fontId="8" fillId="3" borderId="0" xfId="4" applyFont="1" applyFill="1" applyBorder="1" applyAlignment="1">
      <alignment horizontal="left" vertical="center" wrapText="1"/>
    </xf>
    <xf numFmtId="0" fontId="2" fillId="3" borderId="0" xfId="4" applyFill="1"/>
    <xf numFmtId="0" fontId="34" fillId="3" borderId="0" xfId="5" applyFont="1" applyFill="1" applyBorder="1" applyAlignment="1">
      <alignment vertical="center" wrapText="1"/>
    </xf>
    <xf numFmtId="0" fontId="1" fillId="3" borderId="0" xfId="5" applyFill="1"/>
    <xf numFmtId="167" fontId="17" fillId="3" borderId="15" xfId="3" applyNumberFormat="1" applyFont="1" applyFill="1" applyBorder="1"/>
    <xf numFmtId="167" fontId="17" fillId="3" borderId="16" xfId="3" applyNumberFormat="1" applyFont="1" applyFill="1" applyBorder="1"/>
    <xf numFmtId="167" fontId="17" fillId="3" borderId="17" xfId="3" applyNumberFormat="1" applyFont="1" applyFill="1" applyBorder="1"/>
    <xf numFmtId="0" fontId="30" fillId="3" borderId="80" xfId="0" applyFont="1" applyFill="1" applyBorder="1" applyAlignment="1">
      <alignment horizontal="center" vertical="center" wrapText="1"/>
    </xf>
    <xf numFmtId="0" fontId="4" fillId="3" borderId="0" xfId="0" applyFont="1" applyFill="1" applyAlignment="1">
      <alignment horizontal="right"/>
    </xf>
    <xf numFmtId="0" fontId="35" fillId="3" borderId="0" xfId="0" applyFont="1" applyFill="1"/>
    <xf numFmtId="0" fontId="8" fillId="3" borderId="0" xfId="0" applyFont="1" applyFill="1"/>
    <xf numFmtId="0" fontId="30" fillId="3" borderId="117" xfId="0" applyFont="1" applyFill="1" applyBorder="1" applyAlignment="1">
      <alignment horizontal="center" vertical="center" wrapText="1"/>
    </xf>
    <xf numFmtId="0" fontId="21" fillId="9" borderId="48" xfId="0" applyFont="1" applyFill="1" applyBorder="1" applyAlignment="1">
      <alignment horizontal="center" vertical="top" wrapText="1"/>
    </xf>
    <xf numFmtId="0" fontId="21" fillId="9" borderId="37" xfId="0" applyFont="1" applyFill="1" applyBorder="1" applyAlignment="1">
      <alignment horizontal="center" vertical="top" wrapText="1"/>
    </xf>
    <xf numFmtId="0" fontId="21" fillId="9" borderId="47" xfId="0" applyFont="1" applyFill="1" applyBorder="1" applyAlignment="1">
      <alignment horizontal="center" vertical="top" wrapText="1"/>
    </xf>
    <xf numFmtId="0" fontId="21" fillId="9" borderId="35" xfId="0" applyFont="1" applyFill="1" applyBorder="1" applyAlignment="1">
      <alignment horizontal="center" vertical="center"/>
    </xf>
    <xf numFmtId="0" fontId="21" fillId="9" borderId="48" xfId="0" applyFont="1" applyFill="1" applyBorder="1" applyAlignment="1">
      <alignment horizontal="center" vertical="center" wrapText="1"/>
    </xf>
    <xf numFmtId="0" fontId="21" fillId="9" borderId="47" xfId="0" applyFont="1" applyFill="1" applyBorder="1" applyAlignment="1">
      <alignment horizontal="center" vertical="center" wrapText="1"/>
    </xf>
    <xf numFmtId="0" fontId="30" fillId="3" borderId="62" xfId="0" applyFont="1" applyFill="1" applyBorder="1" applyAlignment="1">
      <alignment horizontal="center" vertical="center" wrapText="1"/>
    </xf>
    <xf numFmtId="167" fontId="30" fillId="3" borderId="81" xfId="3" applyNumberFormat="1" applyFont="1" applyFill="1" applyBorder="1"/>
    <xf numFmtId="167" fontId="30" fillId="3" borderId="82" xfId="3" applyNumberFormat="1" applyFont="1" applyFill="1" applyBorder="1"/>
    <xf numFmtId="167" fontId="30" fillId="3" borderId="83" xfId="3" applyNumberFormat="1" applyFont="1" applyFill="1" applyBorder="1"/>
    <xf numFmtId="0" fontId="30" fillId="3" borderId="112" xfId="0" applyFont="1" applyFill="1" applyBorder="1" applyAlignment="1">
      <alignment horizontal="center" vertical="center" wrapText="1"/>
    </xf>
    <xf numFmtId="0" fontId="30" fillId="3" borderId="90" xfId="0" applyFont="1" applyFill="1" applyBorder="1" applyAlignment="1">
      <alignment horizontal="center" vertical="center" wrapText="1"/>
    </xf>
    <xf numFmtId="167" fontId="30" fillId="3" borderId="119" xfId="3" applyNumberFormat="1" applyFont="1" applyFill="1" applyBorder="1"/>
    <xf numFmtId="167" fontId="30" fillId="3" borderId="120" xfId="3" applyNumberFormat="1" applyFont="1" applyFill="1" applyBorder="1"/>
    <xf numFmtId="167" fontId="30" fillId="3" borderId="121" xfId="3" applyNumberFormat="1" applyFont="1" applyFill="1" applyBorder="1"/>
    <xf numFmtId="167" fontId="17" fillId="3" borderId="19" xfId="3" applyNumberFormat="1" applyFont="1" applyFill="1" applyBorder="1"/>
    <xf numFmtId="167" fontId="17" fillId="3" borderId="11" xfId="3" applyNumberFormat="1" applyFont="1" applyFill="1" applyBorder="1"/>
    <xf numFmtId="167" fontId="17" fillId="3" borderId="14" xfId="3" applyNumberFormat="1" applyFont="1" applyFill="1" applyBorder="1"/>
    <xf numFmtId="0" fontId="30" fillId="3" borderId="123" xfId="0" applyFont="1" applyFill="1" applyBorder="1" applyAlignment="1">
      <alignment horizontal="center" vertical="center" wrapText="1"/>
    </xf>
    <xf numFmtId="0" fontId="30" fillId="3" borderId="94" xfId="0" applyFont="1" applyFill="1" applyBorder="1" applyAlignment="1">
      <alignment horizontal="center" vertical="center" wrapText="1"/>
    </xf>
    <xf numFmtId="0" fontId="21" fillId="9" borderId="35" xfId="0" applyFont="1" applyFill="1" applyBorder="1" applyAlignment="1">
      <alignment horizontal="center" vertical="top" wrapText="1"/>
    </xf>
    <xf numFmtId="0" fontId="23" fillId="9" borderId="35" xfId="0" applyFont="1" applyFill="1" applyBorder="1"/>
    <xf numFmtId="0" fontId="8" fillId="3" borderId="30" xfId="4" applyFont="1" applyFill="1" applyBorder="1" applyAlignment="1">
      <alignment wrapText="1"/>
    </xf>
    <xf numFmtId="0" fontId="8" fillId="3" borderId="31" xfId="4" applyFont="1" applyFill="1" applyBorder="1" applyAlignment="1">
      <alignment wrapText="1"/>
    </xf>
    <xf numFmtId="0" fontId="7" fillId="3" borderId="30" xfId="5" applyFont="1" applyFill="1" applyBorder="1" applyAlignment="1">
      <alignment horizontal="left" vertical="center" wrapText="1"/>
    </xf>
    <xf numFmtId="0" fontId="7" fillId="3" borderId="128" xfId="5" applyFont="1" applyFill="1" applyBorder="1" applyAlignment="1">
      <alignment horizontal="left" vertical="center" wrapText="1"/>
    </xf>
    <xf numFmtId="0" fontId="4" fillId="3" borderId="0" xfId="0" applyFont="1" applyFill="1" applyBorder="1" applyAlignment="1">
      <alignment horizontal="left"/>
    </xf>
    <xf numFmtId="0" fontId="25" fillId="3" borderId="20" xfId="0" applyFont="1" applyFill="1" applyBorder="1"/>
    <xf numFmtId="165" fontId="25" fillId="3" borderId="20" xfId="1" applyNumberFormat="1" applyFont="1" applyFill="1" applyBorder="1" applyAlignment="1">
      <alignment horizontal="left"/>
    </xf>
    <xf numFmtId="165" fontId="25" fillId="3" borderId="39" xfId="1" applyNumberFormat="1" applyFont="1" applyFill="1" applyBorder="1" applyAlignment="1">
      <alignment horizontal="left"/>
    </xf>
    <xf numFmtId="165" fontId="29" fillId="5" borderId="75" xfId="3" applyNumberFormat="1" applyFont="1" applyFill="1" applyBorder="1" applyAlignment="1">
      <alignment horizontal="left" vertical="center" indent="4"/>
    </xf>
    <xf numFmtId="165" fontId="29" fillId="5" borderId="63" xfId="3" applyNumberFormat="1" applyFont="1" applyFill="1" applyBorder="1" applyAlignment="1">
      <alignment horizontal="left" vertical="center" indent="4"/>
    </xf>
    <xf numFmtId="1" fontId="29" fillId="5" borderId="66" xfId="3" applyNumberFormat="1" applyFont="1" applyFill="1" applyBorder="1" applyAlignment="1">
      <alignment horizontal="left" vertical="center" indent="4"/>
    </xf>
    <xf numFmtId="1" fontId="29" fillId="5" borderId="75" xfId="3" applyNumberFormat="1" applyFont="1" applyFill="1" applyBorder="1" applyAlignment="1">
      <alignment horizontal="left" vertical="center" indent="5"/>
    </xf>
    <xf numFmtId="1" fontId="29" fillId="5" borderId="63" xfId="3" applyNumberFormat="1" applyFont="1" applyFill="1" applyBorder="1" applyAlignment="1">
      <alignment horizontal="left" vertical="center" indent="5"/>
    </xf>
    <xf numFmtId="1" fontId="29" fillId="5" borderId="66" xfId="3" applyNumberFormat="1" applyFont="1" applyFill="1" applyBorder="1" applyAlignment="1">
      <alignment horizontal="left" vertical="center" indent="5"/>
    </xf>
    <xf numFmtId="165" fontId="18" fillId="7" borderId="111" xfId="3" applyNumberFormat="1" applyFont="1" applyFill="1" applyBorder="1" applyAlignment="1">
      <alignment horizontal="left" vertical="center" indent="4"/>
    </xf>
    <xf numFmtId="165" fontId="18" fillId="7" borderId="105" xfId="3" applyNumberFormat="1" applyFont="1" applyFill="1" applyBorder="1" applyAlignment="1">
      <alignment horizontal="left" vertical="center" indent="4"/>
    </xf>
    <xf numFmtId="1" fontId="18" fillId="7" borderId="106" xfId="3" applyNumberFormat="1" applyFont="1" applyFill="1" applyBorder="1" applyAlignment="1">
      <alignment horizontal="left" vertical="center" indent="4"/>
    </xf>
    <xf numFmtId="1" fontId="18" fillId="7" borderId="104" xfId="3" applyNumberFormat="1" applyFont="1" applyFill="1" applyBorder="1" applyAlignment="1">
      <alignment horizontal="left" vertical="center" indent="5"/>
    </xf>
    <xf numFmtId="1" fontId="18" fillId="7" borderId="107" xfId="3" applyNumberFormat="1" applyFont="1" applyFill="1" applyBorder="1" applyAlignment="1">
      <alignment horizontal="left" vertical="center" indent="5"/>
    </xf>
    <xf numFmtId="1" fontId="18" fillId="7" borderId="105" xfId="3" applyNumberFormat="1" applyFont="1" applyFill="1" applyBorder="1" applyAlignment="1">
      <alignment horizontal="left" vertical="center" indent="5"/>
    </xf>
    <xf numFmtId="1" fontId="18" fillId="7" borderId="109" xfId="3" applyNumberFormat="1" applyFont="1" applyFill="1" applyBorder="1" applyAlignment="1">
      <alignment horizontal="left" vertical="center" indent="5"/>
    </xf>
    <xf numFmtId="165" fontId="30" fillId="3" borderId="84" xfId="0" applyNumberFormat="1" applyFont="1" applyFill="1" applyBorder="1" applyAlignment="1">
      <alignment horizontal="left" indent="4"/>
    </xf>
    <xf numFmtId="165" fontId="30" fillId="3" borderId="122" xfId="0" applyNumberFormat="1" applyFont="1" applyFill="1" applyBorder="1" applyAlignment="1">
      <alignment horizontal="left" indent="4"/>
    </xf>
    <xf numFmtId="165" fontId="30" fillId="3" borderId="85" xfId="0" applyNumberFormat="1" applyFont="1" applyFill="1" applyBorder="1" applyAlignment="1">
      <alignment horizontal="left" indent="4"/>
    </xf>
    <xf numFmtId="165" fontId="30" fillId="3" borderId="88" xfId="0" applyNumberFormat="1" applyFont="1" applyFill="1" applyBorder="1" applyAlignment="1">
      <alignment horizontal="left" indent="4"/>
    </xf>
    <xf numFmtId="165" fontId="30" fillId="3" borderId="86" xfId="0" applyNumberFormat="1" applyFont="1" applyFill="1" applyBorder="1" applyAlignment="1">
      <alignment horizontal="left" indent="4"/>
    </xf>
    <xf numFmtId="165" fontId="30" fillId="3" borderId="89" xfId="0" applyNumberFormat="1" applyFont="1" applyFill="1" applyBorder="1" applyAlignment="1">
      <alignment horizontal="left" indent="4"/>
    </xf>
    <xf numFmtId="1" fontId="30" fillId="3" borderId="91" xfId="0" applyNumberFormat="1" applyFont="1" applyFill="1" applyBorder="1" applyAlignment="1">
      <alignment horizontal="right" indent="1"/>
    </xf>
    <xf numFmtId="1" fontId="30" fillId="3" borderId="92" xfId="0" applyNumberFormat="1" applyFont="1" applyFill="1" applyBorder="1" applyAlignment="1">
      <alignment horizontal="right" indent="1"/>
    </xf>
    <xf numFmtId="1" fontId="30" fillId="3" borderId="93" xfId="0" applyNumberFormat="1" applyFont="1" applyFill="1" applyBorder="1" applyAlignment="1">
      <alignment horizontal="right" indent="1"/>
    </xf>
    <xf numFmtId="0" fontId="30" fillId="3" borderId="98" xfId="0" applyFont="1" applyFill="1" applyBorder="1" applyAlignment="1">
      <alignment horizontal="center" vertical="center" wrapText="1"/>
    </xf>
    <xf numFmtId="0" fontId="30" fillId="3" borderId="125" xfId="0" applyFont="1" applyFill="1" applyBorder="1" applyAlignment="1">
      <alignment horizontal="center" vertical="center" wrapText="1"/>
    </xf>
    <xf numFmtId="0" fontId="30" fillId="3" borderId="124" xfId="0" applyFont="1" applyFill="1" applyBorder="1" applyAlignment="1">
      <alignment horizontal="center" vertical="center" wrapText="1"/>
    </xf>
    <xf numFmtId="1" fontId="30" fillId="3" borderId="91" xfId="0" applyNumberFormat="1" applyFont="1" applyFill="1" applyBorder="1" applyAlignment="1">
      <alignment horizontal="right" indent="2"/>
    </xf>
    <xf numFmtId="1" fontId="30" fillId="3" borderId="92" xfId="0" applyNumberFormat="1" applyFont="1" applyFill="1" applyBorder="1" applyAlignment="1">
      <alignment horizontal="right" indent="2"/>
    </xf>
    <xf numFmtId="1" fontId="30" fillId="3" borderId="93" xfId="0" applyNumberFormat="1" applyFont="1" applyFill="1" applyBorder="1" applyAlignment="1">
      <alignment horizontal="right" indent="2"/>
    </xf>
    <xf numFmtId="1" fontId="30" fillId="3" borderId="84" xfId="0" applyNumberFormat="1" applyFont="1" applyFill="1" applyBorder="1" applyAlignment="1">
      <alignment horizontal="right" indent="2"/>
    </xf>
    <xf numFmtId="1" fontId="30" fillId="3" borderId="87" xfId="0" applyNumberFormat="1" applyFont="1" applyFill="1" applyBorder="1" applyAlignment="1">
      <alignment horizontal="right" indent="2"/>
    </xf>
    <xf numFmtId="1" fontId="30" fillId="3" borderId="85" xfId="0" applyNumberFormat="1" applyFont="1" applyFill="1" applyBorder="1" applyAlignment="1">
      <alignment horizontal="right" indent="2"/>
    </xf>
    <xf numFmtId="1" fontId="30" fillId="3" borderId="88" xfId="0" applyNumberFormat="1" applyFont="1" applyFill="1" applyBorder="1" applyAlignment="1">
      <alignment horizontal="right" indent="2"/>
    </xf>
    <xf numFmtId="1" fontId="30" fillId="3" borderId="86" xfId="0" applyNumberFormat="1" applyFont="1" applyFill="1" applyBorder="1" applyAlignment="1">
      <alignment horizontal="right" indent="2"/>
    </xf>
    <xf numFmtId="1" fontId="30" fillId="3" borderId="89" xfId="0" applyNumberFormat="1" applyFont="1" applyFill="1" applyBorder="1" applyAlignment="1">
      <alignment horizontal="right" indent="2"/>
    </xf>
    <xf numFmtId="165" fontId="17" fillId="3" borderId="116" xfId="0" applyNumberFormat="1" applyFont="1" applyFill="1" applyBorder="1" applyAlignment="1">
      <alignment horizontal="right" indent="1"/>
    </xf>
    <xf numFmtId="165" fontId="17" fillId="3" borderId="8" xfId="3" applyNumberFormat="1" applyFont="1" applyFill="1" applyBorder="1" applyAlignment="1">
      <alignment horizontal="right" indent="1"/>
    </xf>
    <xf numFmtId="165" fontId="17" fillId="3" borderId="15" xfId="3" applyNumberFormat="1" applyFont="1" applyFill="1" applyBorder="1" applyAlignment="1">
      <alignment horizontal="right" indent="1"/>
    </xf>
    <xf numFmtId="1" fontId="17" fillId="3" borderId="59" xfId="0" applyNumberFormat="1" applyFont="1" applyFill="1" applyBorder="1" applyAlignment="1">
      <alignment horizontal="right" indent="1"/>
    </xf>
    <xf numFmtId="165" fontId="17" fillId="3" borderId="113" xfId="0" applyNumberFormat="1" applyFont="1" applyFill="1" applyBorder="1" applyAlignment="1">
      <alignment horizontal="right" indent="1"/>
    </xf>
    <xf numFmtId="165" fontId="17" fillId="3" borderId="10" xfId="3" applyNumberFormat="1" applyFont="1" applyFill="1" applyBorder="1" applyAlignment="1">
      <alignment horizontal="right" indent="1"/>
    </xf>
    <xf numFmtId="165" fontId="17" fillId="3" borderId="16" xfId="3" applyNumberFormat="1" applyFont="1" applyFill="1" applyBorder="1" applyAlignment="1">
      <alignment horizontal="right" indent="1"/>
    </xf>
    <xf numFmtId="1" fontId="17" fillId="3" borderId="49" xfId="0" applyNumberFormat="1" applyFont="1" applyFill="1" applyBorder="1" applyAlignment="1">
      <alignment horizontal="right" indent="1"/>
    </xf>
    <xf numFmtId="165" fontId="17" fillId="3" borderId="114" xfId="0" applyNumberFormat="1" applyFont="1" applyFill="1" applyBorder="1" applyAlignment="1">
      <alignment horizontal="right" indent="1"/>
    </xf>
    <xf numFmtId="165" fontId="17" fillId="3" borderId="13" xfId="3" applyNumberFormat="1" applyFont="1" applyFill="1" applyBorder="1" applyAlignment="1">
      <alignment horizontal="right" indent="1"/>
    </xf>
    <xf numFmtId="165" fontId="17" fillId="3" borderId="17" xfId="3" applyNumberFormat="1" applyFont="1" applyFill="1" applyBorder="1" applyAlignment="1">
      <alignment horizontal="right" indent="1"/>
    </xf>
    <xf numFmtId="1" fontId="17" fillId="3" borderId="50" xfId="0" applyNumberFormat="1" applyFont="1" applyFill="1" applyBorder="1" applyAlignment="1">
      <alignment horizontal="right" indent="1"/>
    </xf>
    <xf numFmtId="1" fontId="18" fillId="7" borderId="106" xfId="3" applyNumberFormat="1" applyFont="1" applyFill="1" applyBorder="1" applyAlignment="1">
      <alignment horizontal="right" vertical="center" indent="1"/>
    </xf>
    <xf numFmtId="1" fontId="17" fillId="3" borderId="7" xfId="0" applyNumberFormat="1" applyFont="1" applyFill="1" applyBorder="1" applyAlignment="1">
      <alignment horizontal="right" indent="1"/>
    </xf>
    <xf numFmtId="1" fontId="17" fillId="3" borderId="15" xfId="3" applyNumberFormat="1" applyFont="1" applyFill="1" applyBorder="1" applyAlignment="1">
      <alignment horizontal="right" indent="1"/>
    </xf>
    <xf numFmtId="1" fontId="17" fillId="3" borderId="9" xfId="0" applyNumberFormat="1" applyFont="1" applyFill="1" applyBorder="1" applyAlignment="1">
      <alignment horizontal="right" indent="1"/>
    </xf>
    <xf numFmtId="1" fontId="17" fillId="3" borderId="16" xfId="3" applyNumberFormat="1" applyFont="1" applyFill="1" applyBorder="1" applyAlignment="1">
      <alignment horizontal="right" indent="1"/>
    </xf>
    <xf numFmtId="1" fontId="17" fillId="3" borderId="12" xfId="0" applyNumberFormat="1" applyFont="1" applyFill="1" applyBorder="1" applyAlignment="1">
      <alignment horizontal="right" indent="1"/>
    </xf>
    <xf numFmtId="1" fontId="17" fillId="3" borderId="17" xfId="3" applyNumberFormat="1" applyFont="1" applyFill="1" applyBorder="1" applyAlignment="1">
      <alignment horizontal="right" indent="1"/>
    </xf>
    <xf numFmtId="0" fontId="17" fillId="3" borderId="97" xfId="0" applyFont="1" applyFill="1" applyBorder="1" applyAlignment="1">
      <alignment horizontal="center" vertical="center" wrapText="1"/>
    </xf>
    <xf numFmtId="0" fontId="17" fillId="3" borderId="96" xfId="0" applyFont="1" applyFill="1" applyBorder="1" applyAlignment="1">
      <alignment horizontal="center" vertical="center" wrapText="1"/>
    </xf>
    <xf numFmtId="0" fontId="8" fillId="3" borderId="21" xfId="0" applyFont="1" applyFill="1" applyBorder="1"/>
    <xf numFmtId="0" fontId="8" fillId="3" borderId="22" xfId="0" applyFont="1" applyFill="1" applyBorder="1"/>
    <xf numFmtId="0" fontId="2" fillId="3" borderId="22" xfId="0" applyFont="1" applyFill="1" applyBorder="1" applyAlignment="1">
      <alignment horizontal="left" vertical="center" wrapText="1"/>
    </xf>
    <xf numFmtId="0" fontId="21" fillId="9" borderId="35" xfId="0" applyFont="1" applyFill="1" applyBorder="1" applyAlignment="1">
      <alignment horizontal="center" vertical="top"/>
    </xf>
    <xf numFmtId="165" fontId="29" fillId="3" borderId="75" xfId="3" applyNumberFormat="1" applyFont="1" applyFill="1" applyBorder="1" applyAlignment="1">
      <alignment horizontal="right" vertical="center" indent="1"/>
    </xf>
    <xf numFmtId="165" fontId="29" fillId="3" borderId="63" xfId="3" applyNumberFormat="1" applyFont="1" applyFill="1" applyBorder="1" applyAlignment="1">
      <alignment horizontal="right" vertical="center" indent="1"/>
    </xf>
    <xf numFmtId="1" fontId="29" fillId="3" borderId="66" xfId="3" applyNumberFormat="1" applyFont="1" applyFill="1" applyBorder="1" applyAlignment="1">
      <alignment horizontal="right" vertical="center" indent="1"/>
    </xf>
    <xf numFmtId="0" fontId="32" fillId="3" borderId="23" xfId="0" applyFont="1" applyFill="1" applyBorder="1" applyAlignment="1">
      <alignment wrapText="1"/>
    </xf>
    <xf numFmtId="165" fontId="18" fillId="3" borderId="111" xfId="3" applyNumberFormat="1" applyFont="1" applyFill="1" applyBorder="1" applyAlignment="1">
      <alignment horizontal="right" vertical="center" indent="1"/>
    </xf>
    <xf numFmtId="168" fontId="18" fillId="3" borderId="105" xfId="3" applyNumberFormat="1" applyFont="1" applyFill="1" applyBorder="1" applyAlignment="1">
      <alignment horizontal="right" vertical="center" indent="1"/>
    </xf>
    <xf numFmtId="1" fontId="18" fillId="3" borderId="106" xfId="3" applyNumberFormat="1" applyFont="1" applyFill="1" applyBorder="1" applyAlignment="1">
      <alignment horizontal="right" vertical="center" indent="1"/>
    </xf>
    <xf numFmtId="1" fontId="17" fillId="3" borderId="19" xfId="0" applyNumberFormat="1" applyFont="1" applyFill="1" applyBorder="1" applyAlignment="1">
      <alignment horizontal="right" indent="1"/>
    </xf>
    <xf numFmtId="1" fontId="17" fillId="3" borderId="11" xfId="0" applyNumberFormat="1" applyFont="1" applyFill="1" applyBorder="1" applyAlignment="1">
      <alignment horizontal="right" indent="1"/>
    </xf>
    <xf numFmtId="1" fontId="17" fillId="3" borderId="14" xfId="0" applyNumberFormat="1" applyFont="1" applyFill="1" applyBorder="1" applyAlignment="1">
      <alignment horizontal="right" indent="1"/>
    </xf>
    <xf numFmtId="0" fontId="29" fillId="5" borderId="61" xfId="0" applyFont="1" applyFill="1" applyBorder="1" applyAlignment="1">
      <alignment vertical="center" wrapText="1"/>
    </xf>
    <xf numFmtId="0" fontId="18" fillId="7" borderId="95" xfId="0" applyFont="1" applyFill="1" applyBorder="1" applyAlignment="1">
      <alignment vertical="center" wrapText="1"/>
    </xf>
    <xf numFmtId="0" fontId="30" fillId="5" borderId="94" xfId="0" applyFont="1" applyFill="1" applyBorder="1" applyAlignment="1">
      <alignment horizontal="center" vertical="center" wrapText="1"/>
    </xf>
    <xf numFmtId="0" fontId="30" fillId="5" borderId="123" xfId="0" applyFont="1" applyFill="1" applyBorder="1" applyAlignment="1">
      <alignment horizontal="center" vertical="center" wrapText="1"/>
    </xf>
    <xf numFmtId="0" fontId="30" fillId="5" borderId="117" xfId="0" applyFont="1" applyFill="1" applyBorder="1" applyAlignment="1">
      <alignment horizontal="center" vertical="center" wrapText="1"/>
    </xf>
    <xf numFmtId="0" fontId="30" fillId="5" borderId="112" xfId="0" applyFont="1" applyFill="1" applyBorder="1" applyAlignment="1">
      <alignment horizontal="center" vertical="center" wrapText="1"/>
    </xf>
    <xf numFmtId="0" fontId="17" fillId="7" borderId="60" xfId="0" applyFont="1" applyFill="1" applyBorder="1" applyAlignment="1">
      <alignment horizontal="center" vertical="center" wrapText="1"/>
    </xf>
    <xf numFmtId="0" fontId="17" fillId="7" borderId="97" xfId="0" applyFont="1" applyFill="1" applyBorder="1" applyAlignment="1">
      <alignment horizontal="center" vertical="center" wrapText="1"/>
    </xf>
    <xf numFmtId="1" fontId="36" fillId="3" borderId="0" xfId="3" applyNumberFormat="1" applyFont="1" applyFill="1" applyBorder="1" applyAlignment="1">
      <alignment vertical="center"/>
    </xf>
    <xf numFmtId="0" fontId="37" fillId="3" borderId="60" xfId="0" applyFont="1" applyFill="1" applyBorder="1" applyAlignment="1">
      <alignment horizontal="center" vertical="center" wrapText="1"/>
    </xf>
    <xf numFmtId="0" fontId="37" fillId="3" borderId="110" xfId="0" applyFont="1" applyFill="1" applyBorder="1" applyAlignment="1">
      <alignment horizontal="center" vertical="center" wrapText="1"/>
    </xf>
    <xf numFmtId="0" fontId="37" fillId="3" borderId="97" xfId="0" applyFont="1" applyFill="1" applyBorder="1" applyAlignment="1">
      <alignment horizontal="center" vertical="center" wrapText="1"/>
    </xf>
    <xf numFmtId="0" fontId="37" fillId="3" borderId="96" xfId="0" applyFont="1" applyFill="1" applyBorder="1" applyAlignment="1">
      <alignment horizontal="center" vertical="center" wrapText="1"/>
    </xf>
    <xf numFmtId="0" fontId="37" fillId="0" borderId="100" xfId="0" applyFont="1" applyFill="1" applyBorder="1"/>
    <xf numFmtId="167" fontId="37" fillId="0" borderId="7" xfId="3" applyNumberFormat="1" applyFont="1" applyFill="1" applyBorder="1"/>
    <xf numFmtId="167" fontId="37" fillId="0" borderId="10" xfId="3" applyNumberFormat="1" applyFont="1" applyFill="1" applyBorder="1"/>
    <xf numFmtId="167" fontId="37" fillId="0" borderId="8" xfId="3" applyNumberFormat="1" applyFont="1" applyFill="1" applyBorder="1"/>
    <xf numFmtId="167" fontId="37" fillId="3" borderId="10" xfId="3" applyNumberFormat="1" applyFont="1" applyFill="1" applyBorder="1"/>
    <xf numFmtId="167" fontId="37" fillId="3" borderId="19" xfId="3" applyNumberFormat="1" applyFont="1" applyFill="1" applyBorder="1"/>
    <xf numFmtId="167" fontId="37" fillId="3" borderId="15" xfId="3" applyNumberFormat="1" applyFont="1" applyFill="1" applyBorder="1"/>
    <xf numFmtId="165" fontId="37" fillId="3" borderId="116" xfId="0" applyNumberFormat="1" applyFont="1" applyFill="1" applyBorder="1" applyAlignment="1">
      <alignment horizontal="right" indent="1"/>
    </xf>
    <xf numFmtId="165" fontId="37" fillId="3" borderId="8" xfId="3" applyNumberFormat="1" applyFont="1" applyFill="1" applyBorder="1" applyAlignment="1">
      <alignment horizontal="right" indent="1"/>
    </xf>
    <xf numFmtId="165" fontId="37" fillId="3" borderId="15" xfId="3" applyNumberFormat="1" applyFont="1" applyFill="1" applyBorder="1" applyAlignment="1">
      <alignment horizontal="right" indent="1"/>
    </xf>
    <xf numFmtId="1" fontId="37" fillId="3" borderId="59" xfId="0" applyNumberFormat="1" applyFont="1" applyFill="1" applyBorder="1" applyAlignment="1">
      <alignment horizontal="right" indent="1"/>
    </xf>
    <xf numFmtId="1" fontId="37" fillId="3" borderId="7" xfId="0" applyNumberFormat="1" applyFont="1" applyFill="1" applyBorder="1" applyAlignment="1">
      <alignment horizontal="right" indent="1"/>
    </xf>
    <xf numFmtId="1" fontId="37" fillId="3" borderId="15" xfId="3" applyNumberFormat="1" applyFont="1" applyFill="1" applyBorder="1" applyAlignment="1">
      <alignment horizontal="right" indent="1"/>
    </xf>
    <xf numFmtId="1" fontId="37" fillId="3" borderId="19" xfId="0" applyNumberFormat="1" applyFont="1" applyFill="1" applyBorder="1" applyAlignment="1">
      <alignment horizontal="right" indent="1"/>
    </xf>
    <xf numFmtId="0" fontId="37" fillId="0" borderId="101" xfId="0" applyFont="1" applyFill="1" applyBorder="1"/>
    <xf numFmtId="167" fontId="37" fillId="0" borderId="9" xfId="3" applyNumberFormat="1" applyFont="1" applyFill="1" applyBorder="1"/>
    <xf numFmtId="167" fontId="37" fillId="3" borderId="11" xfId="3" applyNumberFormat="1" applyFont="1" applyFill="1" applyBorder="1"/>
    <xf numFmtId="167" fontId="37" fillId="3" borderId="16" xfId="3" applyNumberFormat="1" applyFont="1" applyFill="1" applyBorder="1"/>
    <xf numFmtId="165" fontId="37" fillId="3" borderId="113" xfId="0" applyNumberFormat="1" applyFont="1" applyFill="1" applyBorder="1" applyAlignment="1">
      <alignment horizontal="right" indent="1"/>
    </xf>
    <xf numFmtId="165" fontId="37" fillId="3" borderId="10" xfId="3" applyNumberFormat="1" applyFont="1" applyFill="1" applyBorder="1" applyAlignment="1">
      <alignment horizontal="right" indent="1"/>
    </xf>
    <xf numFmtId="165" fontId="37" fillId="3" borderId="16" xfId="3" applyNumberFormat="1" applyFont="1" applyFill="1" applyBorder="1" applyAlignment="1">
      <alignment horizontal="right" indent="1"/>
    </xf>
    <xf numFmtId="1" fontId="37" fillId="3" borderId="49" xfId="0" applyNumberFormat="1" applyFont="1" applyFill="1" applyBorder="1" applyAlignment="1">
      <alignment horizontal="right" indent="1"/>
    </xf>
    <xf numFmtId="1" fontId="37" fillId="3" borderId="9" xfId="0" applyNumberFormat="1" applyFont="1" applyFill="1" applyBorder="1" applyAlignment="1">
      <alignment horizontal="right" indent="1"/>
    </xf>
    <xf numFmtId="1" fontId="37" fillId="3" borderId="16" xfId="3" applyNumberFormat="1" applyFont="1" applyFill="1" applyBorder="1" applyAlignment="1">
      <alignment horizontal="right" indent="1"/>
    </xf>
    <xf numFmtId="1" fontId="37" fillId="3" borderId="11" xfId="0" applyNumberFormat="1" applyFont="1" applyFill="1" applyBorder="1" applyAlignment="1">
      <alignment horizontal="right" indent="1"/>
    </xf>
    <xf numFmtId="0" fontId="37" fillId="0" borderId="102" xfId="0" applyFont="1" applyFill="1" applyBorder="1"/>
    <xf numFmtId="0" fontId="37" fillId="0" borderId="103" xfId="0" applyFont="1" applyFill="1" applyBorder="1"/>
    <xf numFmtId="167" fontId="37" fillId="0" borderId="12" xfId="3" applyNumberFormat="1" applyFont="1" applyFill="1" applyBorder="1"/>
    <xf numFmtId="167" fontId="37" fillId="0" borderId="13" xfId="3" applyNumberFormat="1" applyFont="1" applyFill="1" applyBorder="1"/>
    <xf numFmtId="167" fontId="37" fillId="3" borderId="13" xfId="3" applyNumberFormat="1" applyFont="1" applyFill="1" applyBorder="1"/>
    <xf numFmtId="167" fontId="37" fillId="3" borderId="14" xfId="3" applyNumberFormat="1" applyFont="1" applyFill="1" applyBorder="1"/>
    <xf numFmtId="167" fontId="37" fillId="3" borderId="17" xfId="3" applyNumberFormat="1" applyFont="1" applyFill="1" applyBorder="1"/>
    <xf numFmtId="165" fontId="37" fillId="3" borderId="114" xfId="0" applyNumberFormat="1" applyFont="1" applyFill="1" applyBorder="1" applyAlignment="1">
      <alignment horizontal="right" indent="1"/>
    </xf>
    <xf numFmtId="165" fontId="37" fillId="3" borderId="13" xfId="3" applyNumberFormat="1" applyFont="1" applyFill="1" applyBorder="1" applyAlignment="1">
      <alignment horizontal="right" indent="1"/>
    </xf>
    <xf numFmtId="165" fontId="37" fillId="3" borderId="17" xfId="3" applyNumberFormat="1" applyFont="1" applyFill="1" applyBorder="1" applyAlignment="1">
      <alignment horizontal="right" indent="1"/>
    </xf>
    <xf numFmtId="1" fontId="37" fillId="3" borderId="50" xfId="0" applyNumberFormat="1" applyFont="1" applyFill="1" applyBorder="1" applyAlignment="1">
      <alignment horizontal="right" indent="1"/>
    </xf>
    <xf numFmtId="1" fontId="37" fillId="3" borderId="12" xfId="0" applyNumberFormat="1" applyFont="1" applyFill="1" applyBorder="1" applyAlignment="1">
      <alignment horizontal="right" indent="1"/>
    </xf>
    <xf numFmtId="1" fontId="37" fillId="3" borderId="17" xfId="3" applyNumberFormat="1" applyFont="1" applyFill="1" applyBorder="1" applyAlignment="1">
      <alignment horizontal="right" indent="1"/>
    </xf>
    <xf numFmtId="1" fontId="37" fillId="3" borderId="14" xfId="0" applyNumberFormat="1" applyFont="1" applyFill="1" applyBorder="1" applyAlignment="1">
      <alignment horizontal="right" indent="1"/>
    </xf>
    <xf numFmtId="0" fontId="37" fillId="3" borderId="0" xfId="0" applyFont="1" applyFill="1" applyBorder="1"/>
    <xf numFmtId="0" fontId="23" fillId="3" borderId="0" xfId="0" applyFont="1" applyFill="1" applyAlignment="1">
      <alignment horizontal="left" vertical="top" wrapText="1"/>
    </xf>
    <xf numFmtId="0" fontId="23" fillId="3" borderId="0" xfId="0" applyFont="1" applyFill="1" applyAlignment="1">
      <alignment horizontal="left" vertical="top"/>
    </xf>
    <xf numFmtId="0" fontId="0" fillId="0" borderId="0" xfId="0" applyAlignment="1">
      <alignment horizontal="left" vertical="top"/>
    </xf>
    <xf numFmtId="0" fontId="37" fillId="10" borderId="99" xfId="0" applyFont="1" applyFill="1" applyBorder="1" applyAlignment="1">
      <alignment horizontal="center" vertical="center" wrapText="1"/>
    </xf>
    <xf numFmtId="0" fontId="37" fillId="10" borderId="96"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110" xfId="0" applyFont="1" applyFill="1" applyBorder="1" applyAlignment="1">
      <alignment horizontal="center" vertical="center" wrapText="1"/>
    </xf>
    <xf numFmtId="0" fontId="37" fillId="11" borderId="95" xfId="0" applyFont="1" applyFill="1" applyBorder="1" applyAlignment="1">
      <alignment horizontal="left" vertical="center" wrapText="1"/>
    </xf>
    <xf numFmtId="0" fontId="20" fillId="10" borderId="95" xfId="0" applyFont="1" applyFill="1" applyBorder="1" applyAlignment="1">
      <alignment vertical="center" wrapText="1"/>
    </xf>
    <xf numFmtId="167" fontId="20" fillId="10" borderId="104" xfId="3" applyNumberFormat="1" applyFont="1" applyFill="1" applyBorder="1" applyAlignment="1">
      <alignment vertical="center"/>
    </xf>
    <xf numFmtId="167" fontId="20" fillId="10" borderId="105" xfId="3" applyNumberFormat="1" applyFont="1" applyFill="1" applyBorder="1" applyAlignment="1">
      <alignment vertical="center"/>
    </xf>
    <xf numFmtId="167" fontId="20" fillId="10" borderId="106" xfId="3" applyNumberFormat="1" applyFont="1" applyFill="1" applyBorder="1" applyAlignment="1">
      <alignment vertical="center"/>
    </xf>
    <xf numFmtId="3" fontId="8" fillId="3" borderId="22" xfId="0" applyNumberFormat="1" applyFont="1" applyFill="1" applyBorder="1" applyAlignment="1">
      <alignment horizontal="right" wrapText="1"/>
    </xf>
    <xf numFmtId="3" fontId="8" fillId="3" borderId="21" xfId="0" applyNumberFormat="1" applyFont="1" applyFill="1" applyBorder="1" applyAlignment="1">
      <alignment horizontal="right" wrapText="1"/>
    </xf>
    <xf numFmtId="165" fontId="9" fillId="3" borderId="22" xfId="0" applyNumberFormat="1" applyFont="1" applyFill="1" applyBorder="1" applyAlignment="1">
      <alignment horizontal="right" wrapText="1"/>
    </xf>
    <xf numFmtId="165" fontId="9" fillId="3" borderId="23" xfId="0" applyNumberFormat="1" applyFont="1" applyFill="1" applyBorder="1" applyAlignment="1">
      <alignment horizontal="right"/>
    </xf>
    <xf numFmtId="1" fontId="7" fillId="3" borderId="129" xfId="4" applyNumberFormat="1" applyFont="1" applyFill="1" applyBorder="1" applyAlignment="1">
      <alignment horizontal="center" vertical="center"/>
    </xf>
    <xf numFmtId="1" fontId="7" fillId="3" borderId="51" xfId="4" applyNumberFormat="1" applyFont="1" applyFill="1" applyBorder="1" applyAlignment="1">
      <alignment horizontal="center" vertical="center"/>
    </xf>
    <xf numFmtId="1" fontId="8" fillId="3" borderId="51" xfId="4" applyNumberFormat="1" applyFont="1" applyFill="1" applyBorder="1" applyAlignment="1">
      <alignment horizontal="center" vertical="center"/>
    </xf>
    <xf numFmtId="1" fontId="8" fillId="3" borderId="126" xfId="4" applyNumberFormat="1" applyFont="1" applyFill="1" applyBorder="1" applyAlignment="1">
      <alignment horizontal="center" vertical="center"/>
    </xf>
    <xf numFmtId="0" fontId="37" fillId="10" borderId="60" xfId="0" applyFont="1" applyFill="1" applyBorder="1" applyAlignment="1">
      <alignment horizontal="center" vertical="center" wrapText="1"/>
    </xf>
    <xf numFmtId="0" fontId="37" fillId="10" borderId="97" xfId="0" applyFont="1" applyFill="1" applyBorder="1" applyAlignment="1">
      <alignment horizontal="center" vertical="center" wrapText="1"/>
    </xf>
    <xf numFmtId="165" fontId="20" fillId="10" borderId="111" xfId="3" applyNumberFormat="1" applyFont="1" applyFill="1" applyBorder="1" applyAlignment="1">
      <alignment horizontal="left" vertical="center" indent="4"/>
    </xf>
    <xf numFmtId="165" fontId="20" fillId="10" borderId="105" xfId="3" applyNumberFormat="1" applyFont="1" applyFill="1" applyBorder="1" applyAlignment="1">
      <alignment horizontal="left" vertical="center" indent="4"/>
    </xf>
    <xf numFmtId="1" fontId="20" fillId="10" borderId="106" xfId="3" applyNumberFormat="1" applyFont="1" applyFill="1" applyBorder="1" applyAlignment="1">
      <alignment horizontal="left" vertical="center" indent="4"/>
    </xf>
    <xf numFmtId="1" fontId="20" fillId="10" borderId="106" xfId="3" applyNumberFormat="1" applyFont="1" applyFill="1" applyBorder="1" applyAlignment="1">
      <alignment horizontal="right" vertical="center" indent="1"/>
    </xf>
    <xf numFmtId="1" fontId="20" fillId="10" borderId="104" xfId="3" applyNumberFormat="1" applyFont="1" applyFill="1" applyBorder="1" applyAlignment="1">
      <alignment horizontal="left" vertical="center" indent="5"/>
    </xf>
    <xf numFmtId="1" fontId="20" fillId="10" borderId="107" xfId="3" applyNumberFormat="1" applyFont="1" applyFill="1" applyBorder="1" applyAlignment="1">
      <alignment horizontal="left" vertical="center" indent="5"/>
    </xf>
    <xf numFmtId="1" fontId="20" fillId="10" borderId="105" xfId="3" applyNumberFormat="1" applyFont="1" applyFill="1" applyBorder="1" applyAlignment="1">
      <alignment horizontal="left" vertical="center" indent="5"/>
    </xf>
    <xf numFmtId="1" fontId="20" fillId="10" borderId="109" xfId="3" applyNumberFormat="1" applyFont="1" applyFill="1" applyBorder="1" applyAlignment="1">
      <alignment horizontal="left" vertical="center" indent="5"/>
    </xf>
    <xf numFmtId="165" fontId="20" fillId="10" borderId="111" xfId="3" applyNumberFormat="1" applyFont="1" applyFill="1" applyBorder="1" applyAlignment="1">
      <alignment horizontal="right" vertical="center" indent="1"/>
    </xf>
    <xf numFmtId="168" fontId="20" fillId="10" borderId="105" xfId="3" applyNumberFormat="1" applyFont="1" applyFill="1" applyBorder="1" applyAlignment="1">
      <alignment horizontal="right" vertical="center" indent="1"/>
    </xf>
    <xf numFmtId="167" fontId="20" fillId="10" borderId="104" xfId="3" applyNumberFormat="1" applyFont="1" applyFill="1" applyBorder="1" applyAlignment="1">
      <alignment horizontal="left" vertical="center" indent="2"/>
    </xf>
    <xf numFmtId="167" fontId="20" fillId="10" borderId="107" xfId="3" applyNumberFormat="1" applyFont="1" applyFill="1" applyBorder="1" applyAlignment="1">
      <alignment horizontal="left" vertical="center" indent="2"/>
    </xf>
    <xf numFmtId="167" fontId="20" fillId="10" borderId="105" xfId="3" applyNumberFormat="1" applyFont="1" applyFill="1" applyBorder="1" applyAlignment="1">
      <alignment horizontal="left" vertical="center" indent="2"/>
    </xf>
    <xf numFmtId="167" fontId="20" fillId="10" borderId="109" xfId="3" applyNumberFormat="1" applyFont="1" applyFill="1" applyBorder="1" applyAlignment="1">
      <alignment horizontal="left" vertical="center" indent="2"/>
    </xf>
    <xf numFmtId="167" fontId="20" fillId="10" borderId="106" xfId="3" applyNumberFormat="1" applyFont="1" applyFill="1" applyBorder="1" applyAlignment="1">
      <alignment horizontal="left" vertical="center" indent="2"/>
    </xf>
    <xf numFmtId="167" fontId="18" fillId="7" borderId="104" xfId="3" applyNumberFormat="1" applyFont="1" applyFill="1" applyBorder="1" applyAlignment="1">
      <alignment horizontal="left" vertical="center" indent="2"/>
    </xf>
    <xf numFmtId="167" fontId="18" fillId="7" borderId="107" xfId="3" applyNumberFormat="1" applyFont="1" applyFill="1" applyBorder="1" applyAlignment="1">
      <alignment horizontal="left" vertical="center" indent="2"/>
    </xf>
    <xf numFmtId="167" fontId="18" fillId="7" borderId="105" xfId="3" applyNumberFormat="1" applyFont="1" applyFill="1" applyBorder="1" applyAlignment="1">
      <alignment horizontal="left" vertical="center" indent="2"/>
    </xf>
    <xf numFmtId="167" fontId="18" fillId="7" borderId="109" xfId="3" applyNumberFormat="1" applyFont="1" applyFill="1" applyBorder="1" applyAlignment="1">
      <alignment horizontal="left" vertical="center" indent="2"/>
    </xf>
    <xf numFmtId="167" fontId="18" fillId="7" borderId="106" xfId="3" applyNumberFormat="1" applyFont="1" applyFill="1" applyBorder="1" applyAlignment="1">
      <alignment horizontal="left" vertical="center" indent="2"/>
    </xf>
    <xf numFmtId="1" fontId="29" fillId="5" borderId="75" xfId="3" applyNumberFormat="1" applyFont="1" applyFill="1" applyBorder="1" applyAlignment="1">
      <alignment horizontal="right" vertical="center" indent="2"/>
    </xf>
    <xf numFmtId="1" fontId="29" fillId="5" borderId="63" xfId="3" applyNumberFormat="1" applyFont="1" applyFill="1" applyBorder="1" applyAlignment="1">
      <alignment horizontal="right" vertical="center" indent="2"/>
    </xf>
    <xf numFmtId="1" fontId="29" fillId="5" borderId="66" xfId="3" applyNumberFormat="1" applyFont="1" applyFill="1" applyBorder="1" applyAlignment="1">
      <alignment horizontal="right" vertical="center" indent="2"/>
    </xf>
    <xf numFmtId="165" fontId="8" fillId="3" borderId="34" xfId="0" applyNumberFormat="1" applyFont="1" applyFill="1" applyBorder="1" applyAlignment="1">
      <alignment horizontal="right" indent="3"/>
    </xf>
    <xf numFmtId="165" fontId="8" fillId="3" borderId="44" xfId="0" applyNumberFormat="1" applyFont="1" applyFill="1" applyBorder="1" applyAlignment="1">
      <alignment horizontal="right" indent="3"/>
    </xf>
    <xf numFmtId="1" fontId="8" fillId="3" borderId="43" xfId="0" applyNumberFormat="1" applyFont="1" applyFill="1" applyBorder="1" applyAlignment="1">
      <alignment horizontal="right" indent="3"/>
    </xf>
    <xf numFmtId="165" fontId="8" fillId="3" borderId="25" xfId="0" applyNumberFormat="1" applyFont="1" applyFill="1" applyBorder="1" applyAlignment="1">
      <alignment horizontal="right" indent="3"/>
    </xf>
    <xf numFmtId="165" fontId="8" fillId="3" borderId="45" xfId="0" applyNumberFormat="1" applyFont="1" applyFill="1" applyBorder="1" applyAlignment="1">
      <alignment horizontal="right" indent="3"/>
    </xf>
    <xf numFmtId="1" fontId="8" fillId="3" borderId="51" xfId="0" applyNumberFormat="1" applyFont="1" applyFill="1" applyBorder="1" applyAlignment="1">
      <alignment horizontal="right" indent="3"/>
    </xf>
    <xf numFmtId="165" fontId="25" fillId="3" borderId="39" xfId="0" applyNumberFormat="1" applyFont="1" applyFill="1" applyBorder="1" applyAlignment="1">
      <alignment horizontal="right" indent="3"/>
    </xf>
    <xf numFmtId="165" fontId="25" fillId="3" borderId="47" xfId="0" applyNumberFormat="1" applyFont="1" applyFill="1" applyBorder="1" applyAlignment="1">
      <alignment horizontal="right" indent="3"/>
    </xf>
    <xf numFmtId="1" fontId="25" fillId="3" borderId="37" xfId="0" applyNumberFormat="1" applyFont="1" applyFill="1" applyBorder="1" applyAlignment="1">
      <alignment horizontal="right" indent="3"/>
    </xf>
    <xf numFmtId="1" fontId="8" fillId="3" borderId="38" xfId="1" applyNumberFormat="1" applyFont="1" applyFill="1" applyBorder="1" applyAlignment="1">
      <alignment horizontal="right" indent="3"/>
    </xf>
    <xf numFmtId="165" fontId="25" fillId="3" borderId="36" xfId="1" applyNumberFormat="1" applyFont="1" applyFill="1" applyBorder="1" applyAlignment="1">
      <alignment horizontal="right" indent="3"/>
    </xf>
    <xf numFmtId="165" fontId="25" fillId="3" borderId="47" xfId="1" applyNumberFormat="1" applyFont="1" applyFill="1" applyBorder="1" applyAlignment="1">
      <alignment horizontal="right" indent="3"/>
    </xf>
    <xf numFmtId="1" fontId="25" fillId="3" borderId="40" xfId="1" applyNumberFormat="1" applyFont="1" applyFill="1" applyBorder="1" applyAlignment="1">
      <alignment horizontal="right" indent="3"/>
    </xf>
    <xf numFmtId="1" fontId="8" fillId="3" borderId="34" xfId="0" applyNumberFormat="1" applyFont="1" applyFill="1" applyBorder="1" applyAlignment="1">
      <alignment horizontal="right" indent="3"/>
    </xf>
    <xf numFmtId="1" fontId="8" fillId="3" borderId="44" xfId="0" applyNumberFormat="1" applyFont="1" applyFill="1" applyBorder="1" applyAlignment="1">
      <alignment horizontal="right" vertical="center" indent="3"/>
    </xf>
    <xf numFmtId="1" fontId="8" fillId="3" borderId="44" xfId="0" applyNumberFormat="1" applyFont="1" applyFill="1" applyBorder="1" applyAlignment="1">
      <alignment horizontal="right" indent="3"/>
    </xf>
    <xf numFmtId="1" fontId="8" fillId="3" borderId="25" xfId="0" applyNumberFormat="1" applyFont="1" applyFill="1" applyBorder="1" applyAlignment="1">
      <alignment horizontal="right" indent="3"/>
    </xf>
    <xf numFmtId="1" fontId="8" fillId="3" borderId="45" xfId="0" applyNumberFormat="1" applyFont="1" applyFill="1" applyBorder="1" applyAlignment="1">
      <alignment horizontal="right" vertical="center" indent="3"/>
    </xf>
    <xf numFmtId="1" fontId="8" fillId="3" borderId="45" xfId="0" applyNumberFormat="1" applyFont="1" applyFill="1" applyBorder="1" applyAlignment="1">
      <alignment horizontal="right" indent="3"/>
    </xf>
    <xf numFmtId="1" fontId="25" fillId="3" borderId="39" xfId="0" applyNumberFormat="1" applyFont="1" applyFill="1" applyBorder="1" applyAlignment="1">
      <alignment horizontal="right" indent="3"/>
    </xf>
    <xf numFmtId="1" fontId="25" fillId="3" borderId="47" xfId="0" applyNumberFormat="1" applyFont="1" applyFill="1" applyBorder="1" applyAlignment="1">
      <alignment horizontal="right" vertical="center" indent="3"/>
    </xf>
    <xf numFmtId="1" fontId="25" fillId="3" borderId="47" xfId="0" applyNumberFormat="1" applyFont="1" applyFill="1" applyBorder="1" applyAlignment="1">
      <alignment horizontal="right" indent="3"/>
    </xf>
    <xf numFmtId="1" fontId="8" fillId="3" borderId="34" xfId="0" applyNumberFormat="1" applyFont="1" applyFill="1" applyBorder="1" applyAlignment="1">
      <alignment horizontal="center"/>
    </xf>
    <xf numFmtId="1" fontId="8" fillId="3" borderId="44" xfId="0" applyNumberFormat="1" applyFont="1" applyFill="1" applyBorder="1" applyAlignment="1">
      <alignment horizontal="center" vertical="center"/>
    </xf>
    <xf numFmtId="1" fontId="8" fillId="3" borderId="44" xfId="0" applyNumberFormat="1" applyFont="1" applyFill="1" applyBorder="1" applyAlignment="1">
      <alignment horizontal="center"/>
    </xf>
    <xf numFmtId="1" fontId="8" fillId="3" borderId="43" xfId="0" applyNumberFormat="1" applyFont="1" applyFill="1" applyBorder="1" applyAlignment="1">
      <alignment horizontal="center"/>
    </xf>
    <xf numFmtId="1" fontId="8" fillId="3" borderId="25" xfId="0" applyNumberFormat="1" applyFont="1" applyFill="1" applyBorder="1" applyAlignment="1">
      <alignment horizontal="center"/>
    </xf>
    <xf numFmtId="1" fontId="8" fillId="3" borderId="45" xfId="0" applyNumberFormat="1" applyFont="1" applyFill="1" applyBorder="1" applyAlignment="1">
      <alignment horizontal="center" vertical="center"/>
    </xf>
    <xf numFmtId="1" fontId="8" fillId="3" borderId="45" xfId="0" applyNumberFormat="1" applyFont="1" applyFill="1" applyBorder="1" applyAlignment="1">
      <alignment horizontal="center"/>
    </xf>
    <xf numFmtId="1" fontId="8" fillId="3" borderId="51" xfId="0" applyNumberFormat="1" applyFont="1" applyFill="1" applyBorder="1" applyAlignment="1">
      <alignment horizontal="center"/>
    </xf>
    <xf numFmtId="1" fontId="25" fillId="3" borderId="39" xfId="0" applyNumberFormat="1" applyFont="1" applyFill="1" applyBorder="1" applyAlignment="1">
      <alignment horizontal="center"/>
    </xf>
    <xf numFmtId="1" fontId="25" fillId="3" borderId="47" xfId="0" applyNumberFormat="1" applyFont="1" applyFill="1" applyBorder="1" applyAlignment="1">
      <alignment horizontal="center" vertical="center"/>
    </xf>
    <xf numFmtId="1" fontId="25" fillId="3" borderId="47" xfId="0" applyNumberFormat="1" applyFont="1" applyFill="1" applyBorder="1" applyAlignment="1">
      <alignment horizontal="center"/>
    </xf>
    <xf numFmtId="1" fontId="25" fillId="3" borderId="40" xfId="0" applyNumberFormat="1" applyFont="1" applyFill="1" applyBorder="1" applyAlignment="1">
      <alignment horizontal="center"/>
    </xf>
    <xf numFmtId="0" fontId="30" fillId="4" borderId="61" xfId="0" applyFont="1" applyFill="1" applyBorder="1" applyAlignment="1">
      <alignment horizontal="left" vertical="center" wrapText="1"/>
    </xf>
    <xf numFmtId="0" fontId="17" fillId="12" borderId="95" xfId="0" applyFont="1" applyFill="1" applyBorder="1" applyAlignment="1">
      <alignment horizontal="left" vertical="center" wrapText="1"/>
    </xf>
    <xf numFmtId="1" fontId="7" fillId="3" borderId="127" xfId="4" applyNumberFormat="1" applyFont="1" applyFill="1" applyBorder="1" applyAlignment="1">
      <alignment horizontal="center" vertical="center"/>
    </xf>
    <xf numFmtId="1" fontId="7" fillId="3" borderId="22" xfId="4" applyNumberFormat="1" applyFont="1" applyFill="1" applyBorder="1" applyAlignment="1">
      <alignment horizontal="center" vertical="center"/>
    </xf>
    <xf numFmtId="1" fontId="8" fillId="3" borderId="22" xfId="4" applyNumberFormat="1" applyFont="1" applyFill="1" applyBorder="1" applyAlignment="1">
      <alignment horizontal="center" vertical="center"/>
    </xf>
    <xf numFmtId="1" fontId="8" fillId="3" borderId="23" xfId="4" applyNumberFormat="1" applyFont="1" applyFill="1" applyBorder="1" applyAlignment="1">
      <alignment horizontal="center" vertical="center"/>
    </xf>
    <xf numFmtId="1" fontId="8" fillId="3" borderId="46" xfId="0" applyNumberFormat="1" applyFont="1" applyFill="1" applyBorder="1" applyAlignment="1">
      <alignment horizontal="right" indent="3"/>
    </xf>
    <xf numFmtId="165" fontId="8" fillId="3" borderId="23" xfId="1" applyNumberFormat="1" applyFont="1" applyFill="1" applyBorder="1" applyAlignment="1">
      <alignment horizontal="right" wrapText="1"/>
    </xf>
    <xf numFmtId="0" fontId="6" fillId="3" borderId="5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5"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5" xfId="0" applyFont="1" applyFill="1" applyBorder="1" applyAlignment="1">
      <alignment horizontal="left" vertical="center" wrapText="1"/>
    </xf>
    <xf numFmtId="0" fontId="38" fillId="3" borderId="54" xfId="2" applyFont="1" applyFill="1" applyBorder="1" applyAlignment="1">
      <alignment horizontal="left" vertical="center"/>
    </xf>
    <xf numFmtId="0" fontId="11" fillId="3" borderId="0" xfId="2" applyFont="1" applyFill="1" applyBorder="1" applyAlignment="1">
      <alignment horizontal="left" vertical="center"/>
    </xf>
    <xf numFmtId="0" fontId="11" fillId="3" borderId="55" xfId="2" applyFont="1" applyFill="1" applyBorder="1" applyAlignment="1">
      <alignment horizontal="left" vertical="center"/>
    </xf>
    <xf numFmtId="0" fontId="4" fillId="3" borderId="54" xfId="0" quotePrefix="1"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4" fillId="3" borderId="58"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0" fillId="3" borderId="52" xfId="0" applyFont="1" applyFill="1" applyBorder="1" applyAlignment="1">
      <alignment horizontal="left" vertical="center"/>
    </xf>
    <xf numFmtId="0" fontId="10" fillId="3" borderId="5" xfId="0" applyFont="1" applyFill="1" applyBorder="1" applyAlignment="1">
      <alignment horizontal="left" vertical="center"/>
    </xf>
    <xf numFmtId="0" fontId="10" fillId="3" borderId="53" xfId="0" applyFont="1" applyFill="1" applyBorder="1" applyAlignment="1">
      <alignment horizontal="left" vertical="center"/>
    </xf>
    <xf numFmtId="0" fontId="6" fillId="3" borderId="54" xfId="0" applyFont="1" applyFill="1" applyBorder="1" applyAlignment="1">
      <alignment horizontal="left" vertical="center"/>
    </xf>
    <xf numFmtId="0" fontId="6" fillId="3" borderId="0" xfId="0" applyFont="1" applyFill="1" applyBorder="1" applyAlignment="1">
      <alignment horizontal="left" vertical="center"/>
    </xf>
    <xf numFmtId="0" fontId="6" fillId="3" borderId="55" xfId="0" applyFont="1" applyFill="1" applyBorder="1" applyAlignment="1">
      <alignment horizontal="left" vertical="center"/>
    </xf>
    <xf numFmtId="0" fontId="4" fillId="3" borderId="54" xfId="0" applyFont="1" applyFill="1" applyBorder="1" applyAlignment="1">
      <alignment horizontal="justify" vertical="center" wrapText="1"/>
    </xf>
    <xf numFmtId="0" fontId="4" fillId="3" borderId="0" xfId="0" applyFont="1" applyFill="1" applyBorder="1" applyAlignment="1">
      <alignment horizontal="justify" vertical="center" wrapText="1"/>
    </xf>
    <xf numFmtId="0" fontId="4" fillId="3" borderId="55" xfId="0" applyFont="1" applyFill="1" applyBorder="1" applyAlignment="1">
      <alignment horizontal="justify" vertical="center" wrapText="1"/>
    </xf>
    <xf numFmtId="0" fontId="6" fillId="3" borderId="54" xfId="0" applyFont="1" applyFill="1" applyBorder="1" applyAlignment="1">
      <alignment vertical="center"/>
    </xf>
    <xf numFmtId="0" fontId="6" fillId="3" borderId="0" xfId="0" applyFont="1" applyFill="1" applyBorder="1" applyAlignment="1">
      <alignment vertical="center"/>
    </xf>
    <xf numFmtId="0" fontId="6" fillId="3" borderId="55" xfId="0" applyFont="1" applyFill="1" applyBorder="1" applyAlignment="1">
      <alignment vertical="center"/>
    </xf>
    <xf numFmtId="0" fontId="5" fillId="3" borderId="0" xfId="0" applyFont="1" applyFill="1" applyBorder="1" applyAlignment="1">
      <alignment horizontal="justify" vertical="center" wrapText="1"/>
    </xf>
    <xf numFmtId="0" fontId="5" fillId="3" borderId="55" xfId="0" applyFont="1" applyFill="1" applyBorder="1" applyAlignment="1">
      <alignment horizontal="justify" vertical="center" wrapText="1"/>
    </xf>
    <xf numFmtId="0" fontId="22" fillId="8" borderId="41" xfId="0" applyFont="1" applyFill="1" applyBorder="1" applyAlignment="1">
      <alignment horizontal="center" vertical="center"/>
    </xf>
    <xf numFmtId="0" fontId="22" fillId="8" borderId="42" xfId="0" applyFont="1" applyFill="1" applyBorder="1" applyAlignment="1">
      <alignment horizontal="center" vertical="center"/>
    </xf>
    <xf numFmtId="0" fontId="24" fillId="3" borderId="42" xfId="0" applyFont="1" applyFill="1" applyBorder="1" applyAlignment="1">
      <alignment horizontal="left" wrapText="1"/>
    </xf>
    <xf numFmtId="0" fontId="24" fillId="2" borderId="42" xfId="0" applyFont="1" applyFill="1" applyBorder="1" applyAlignment="1">
      <alignment horizontal="left" wrapText="1"/>
    </xf>
    <xf numFmtId="0" fontId="24" fillId="3" borderId="0" xfId="0" applyFont="1" applyFill="1" applyBorder="1" applyAlignment="1">
      <alignment horizontal="left" wrapText="1"/>
    </xf>
    <xf numFmtId="0" fontId="21" fillId="9" borderId="35" xfId="0" applyFont="1" applyFill="1" applyBorder="1" applyAlignment="1">
      <alignment horizontal="center" wrapText="1"/>
    </xf>
    <xf numFmtId="0" fontId="21" fillId="9" borderId="36" xfId="0" applyFont="1" applyFill="1" applyBorder="1" applyAlignment="1">
      <alignment horizontal="center" wrapText="1"/>
    </xf>
    <xf numFmtId="0" fontId="21" fillId="9" borderId="37" xfId="0" applyFont="1" applyFill="1" applyBorder="1" applyAlignment="1">
      <alignment horizontal="center" wrapText="1"/>
    </xf>
    <xf numFmtId="0" fontId="4" fillId="3" borderId="3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6"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24" xfId="0" applyFont="1" applyFill="1" applyBorder="1" applyAlignment="1">
      <alignment horizontal="left" wrapText="1"/>
    </xf>
    <xf numFmtId="0" fontId="4" fillId="3" borderId="0" xfId="0" applyFont="1" applyFill="1" applyBorder="1" applyAlignment="1">
      <alignment horizontal="left" wrapText="1"/>
    </xf>
    <xf numFmtId="0" fontId="4" fillId="3" borderId="25" xfId="0" applyFont="1" applyFill="1" applyBorder="1" applyAlignment="1">
      <alignment horizontal="left" wrapText="1"/>
    </xf>
    <xf numFmtId="20" fontId="4" fillId="3" borderId="26" xfId="0" applyNumberFormat="1" applyFont="1" applyFill="1" applyBorder="1" applyAlignment="1"/>
    <xf numFmtId="20" fontId="4" fillId="3" borderId="27" xfId="0" applyNumberFormat="1" applyFont="1" applyFill="1" applyBorder="1" applyAlignment="1"/>
    <xf numFmtId="20" fontId="4" fillId="3" borderId="28" xfId="0" applyNumberFormat="1" applyFont="1" applyFill="1" applyBorder="1" applyAlignment="1"/>
    <xf numFmtId="0" fontId="17" fillId="3" borderId="95" xfId="0" applyFont="1" applyFill="1" applyBorder="1" applyAlignment="1">
      <alignment horizontal="center" vertical="center" wrapText="1"/>
    </xf>
    <xf numFmtId="0" fontId="29" fillId="4" borderId="69" xfId="0" applyFont="1" applyFill="1" applyBorder="1" applyAlignment="1">
      <alignment horizontal="center" vertical="center"/>
    </xf>
    <xf numFmtId="0" fontId="29" fillId="4" borderId="75" xfId="0" applyFont="1" applyFill="1" applyBorder="1" applyAlignment="1">
      <alignment horizontal="center" vertical="center"/>
    </xf>
    <xf numFmtId="0" fontId="29" fillId="4" borderId="66" xfId="0" applyFont="1" applyFill="1" applyBorder="1" applyAlignment="1">
      <alignment horizontal="center" vertical="center"/>
    </xf>
    <xf numFmtId="0" fontId="18" fillId="6" borderId="115" xfId="0" applyFont="1" applyFill="1" applyBorder="1" applyAlignment="1">
      <alignment horizontal="center" vertical="center"/>
    </xf>
    <xf numFmtId="0" fontId="18" fillId="6" borderId="111" xfId="0" applyFont="1" applyFill="1" applyBorder="1" applyAlignment="1">
      <alignment horizontal="center" vertical="center"/>
    </xf>
    <xf numFmtId="0" fontId="18" fillId="6" borderId="108" xfId="0" applyFont="1" applyFill="1" applyBorder="1" applyAlignment="1">
      <alignment horizontal="center" vertical="center"/>
    </xf>
    <xf numFmtId="0" fontId="17" fillId="7" borderId="95" xfId="0" applyFont="1" applyFill="1" applyBorder="1" applyAlignment="1">
      <alignment horizontal="center" vertical="center" wrapText="1"/>
    </xf>
    <xf numFmtId="0" fontId="30" fillId="3" borderId="69" xfId="0" applyFont="1" applyFill="1" applyBorder="1" applyAlignment="1">
      <alignment horizontal="center" vertical="center" wrapText="1"/>
    </xf>
    <xf numFmtId="0" fontId="30" fillId="3" borderId="75" xfId="0" applyFont="1" applyFill="1" applyBorder="1" applyAlignment="1">
      <alignment horizontal="center" vertical="center" wrapText="1"/>
    </xf>
    <xf numFmtId="0" fontId="30" fillId="3" borderId="118" xfId="0" applyFont="1" applyFill="1" applyBorder="1" applyAlignment="1">
      <alignment horizontal="center" vertical="center" wrapText="1"/>
    </xf>
    <xf numFmtId="0" fontId="30" fillId="5" borderId="69" xfId="0" applyFont="1" applyFill="1" applyBorder="1" applyAlignment="1">
      <alignment horizontal="center" vertical="center" wrapText="1"/>
    </xf>
    <xf numFmtId="0" fontId="30" fillId="5" borderId="75" xfId="0" applyFont="1" applyFill="1" applyBorder="1" applyAlignment="1">
      <alignment horizontal="center" vertical="center" wrapText="1"/>
    </xf>
    <xf numFmtId="0" fontId="30" fillId="5" borderId="118" xfId="0" applyFont="1" applyFill="1" applyBorder="1" applyAlignment="1">
      <alignment horizontal="center" vertical="center" wrapText="1"/>
    </xf>
    <xf numFmtId="0" fontId="30" fillId="3" borderId="66" xfId="0" applyFont="1" applyFill="1" applyBorder="1" applyAlignment="1">
      <alignment horizontal="center" vertical="center" wrapText="1"/>
    </xf>
    <xf numFmtId="0" fontId="18" fillId="6" borderId="95" xfId="0" applyFont="1" applyFill="1" applyBorder="1" applyAlignment="1">
      <alignment horizontal="center" vertical="center"/>
    </xf>
    <xf numFmtId="0" fontId="30" fillId="5" borderId="66" xfId="0" applyFont="1" applyFill="1" applyBorder="1" applyAlignment="1">
      <alignment horizontal="center" vertical="center" wrapText="1"/>
    </xf>
    <xf numFmtId="0" fontId="20" fillId="11" borderId="115" xfId="0" applyFont="1" applyFill="1" applyBorder="1" applyAlignment="1">
      <alignment horizontal="center" vertical="center"/>
    </xf>
    <xf numFmtId="0" fontId="20" fillId="11" borderId="111" xfId="0" applyFont="1" applyFill="1" applyBorder="1" applyAlignment="1">
      <alignment horizontal="center" vertical="center"/>
    </xf>
    <xf numFmtId="0" fontId="20" fillId="11" borderId="108" xfId="0" applyFont="1" applyFill="1" applyBorder="1" applyAlignment="1">
      <alignment horizontal="center" vertical="center"/>
    </xf>
    <xf numFmtId="0" fontId="20" fillId="11" borderId="95" xfId="0" applyFont="1" applyFill="1" applyBorder="1" applyAlignment="1">
      <alignment horizontal="center" vertical="center"/>
    </xf>
    <xf numFmtId="0" fontId="37" fillId="10" borderId="95" xfId="0" applyFont="1" applyFill="1" applyBorder="1" applyAlignment="1">
      <alignment horizontal="center" vertical="center" wrapText="1"/>
    </xf>
    <xf numFmtId="0" fontId="37" fillId="3" borderId="95" xfId="0" applyFont="1" applyFill="1" applyBorder="1" applyAlignment="1">
      <alignment horizontal="center" vertical="center" wrapText="1"/>
    </xf>
  </cellXfs>
  <cellStyles count="7">
    <cellStyle name="Lien hypertexte" xfId="2" builtinId="8"/>
    <cellStyle name="Milliers" xfId="3" builtinId="3"/>
    <cellStyle name="Normal" xfId="0" builtinId="0"/>
    <cellStyle name="Normal 2 2" xfId="4" xr:uid="{00000000-0005-0000-0000-000003000000}"/>
    <cellStyle name="Normal 6" xfId="6" xr:uid="{00000000-0005-0000-0000-000004000000}"/>
    <cellStyle name="Normal 9" xfId="5" xr:uid="{00000000-0005-0000-0000-000005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res.travail-emploi.gouv.fr/publication/lobligation-demploi-des-travailleurs-handicapes-en-2022"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83"/>
  <sheetViews>
    <sheetView zoomScale="125" zoomScaleNormal="125" workbookViewId="0">
      <selection sqref="A1:L1"/>
    </sheetView>
  </sheetViews>
  <sheetFormatPr baseColWidth="10" defaultRowHeight="12.75" x14ac:dyDescent="0.2"/>
  <cols>
    <col min="12" max="12" width="16.5703125" customWidth="1"/>
    <col min="13" max="13" width="11.42578125" style="49"/>
    <col min="14" max="14" width="58.140625" style="49" customWidth="1"/>
    <col min="15" max="38" width="11.42578125" style="49"/>
  </cols>
  <sheetData>
    <row r="1" spans="1:38" x14ac:dyDescent="0.2">
      <c r="A1" s="362" t="s">
        <v>125</v>
      </c>
      <c r="B1" s="363"/>
      <c r="C1" s="363"/>
      <c r="D1" s="363"/>
      <c r="E1" s="363"/>
      <c r="F1" s="363"/>
      <c r="G1" s="363"/>
      <c r="H1" s="363"/>
      <c r="I1" s="363"/>
      <c r="J1" s="363"/>
      <c r="K1" s="363"/>
      <c r="L1" s="364"/>
    </row>
    <row r="2" spans="1:38" x14ac:dyDescent="0.2">
      <c r="A2" s="365"/>
      <c r="B2" s="366"/>
      <c r="C2" s="366"/>
      <c r="D2" s="366"/>
      <c r="E2" s="366"/>
      <c r="F2" s="366"/>
      <c r="G2" s="366"/>
      <c r="H2" s="366"/>
      <c r="I2" s="366"/>
      <c r="J2" s="366"/>
      <c r="K2" s="366"/>
      <c r="L2" s="367"/>
    </row>
    <row r="3" spans="1:38" ht="16.5" customHeight="1" x14ac:dyDescent="0.2">
      <c r="A3" s="368" t="s">
        <v>10</v>
      </c>
      <c r="B3" s="369"/>
      <c r="C3" s="369"/>
      <c r="D3" s="369"/>
      <c r="E3" s="369"/>
      <c r="F3" s="369"/>
      <c r="G3" s="369"/>
      <c r="H3" s="369"/>
      <c r="I3" s="369"/>
      <c r="J3" s="369"/>
      <c r="K3" s="369"/>
      <c r="L3" s="370"/>
    </row>
    <row r="4" spans="1:38" ht="30" customHeight="1" x14ac:dyDescent="0.2">
      <c r="A4" s="371" t="s">
        <v>102</v>
      </c>
      <c r="B4" s="372"/>
      <c r="C4" s="372"/>
      <c r="D4" s="372"/>
      <c r="E4" s="372"/>
      <c r="F4" s="372"/>
      <c r="G4" s="372"/>
      <c r="H4" s="372"/>
      <c r="I4" s="372"/>
      <c r="J4" s="372"/>
      <c r="K4" s="372"/>
      <c r="L4" s="373"/>
    </row>
    <row r="5" spans="1:38" ht="80.099999999999994" customHeight="1" x14ac:dyDescent="0.2">
      <c r="A5" s="352" t="s">
        <v>117</v>
      </c>
      <c r="B5" s="353"/>
      <c r="C5" s="353"/>
      <c r="D5" s="353"/>
      <c r="E5" s="353"/>
      <c r="F5" s="353"/>
      <c r="G5" s="353"/>
      <c r="H5" s="353"/>
      <c r="I5" s="353"/>
      <c r="J5" s="353"/>
      <c r="K5" s="353"/>
      <c r="L5" s="354"/>
    </row>
    <row r="6" spans="1:38" ht="24" customHeight="1" x14ac:dyDescent="0.2">
      <c r="A6" s="371" t="s">
        <v>120</v>
      </c>
      <c r="B6" s="372"/>
      <c r="C6" s="372"/>
      <c r="D6" s="372"/>
      <c r="E6" s="372"/>
      <c r="F6" s="372"/>
      <c r="G6" s="372"/>
      <c r="H6" s="372"/>
      <c r="I6" s="372"/>
      <c r="J6" s="372"/>
      <c r="K6" s="372"/>
      <c r="L6" s="373"/>
    </row>
    <row r="7" spans="1:38" ht="30" customHeight="1" x14ac:dyDescent="0.2">
      <c r="A7" s="349" t="s">
        <v>121</v>
      </c>
      <c r="B7" s="350"/>
      <c r="C7" s="350"/>
      <c r="D7" s="350"/>
      <c r="E7" s="350"/>
      <c r="F7" s="350"/>
      <c r="G7" s="350"/>
      <c r="H7" s="350"/>
      <c r="I7" s="350"/>
      <c r="J7" s="350"/>
      <c r="K7" s="350"/>
      <c r="L7" s="351"/>
      <c r="M7" s="50"/>
      <c r="N7" s="50"/>
    </row>
    <row r="8" spans="1:38" s="264" customFormat="1" ht="24" customHeight="1" x14ac:dyDescent="0.2">
      <c r="A8" s="349" t="s">
        <v>132</v>
      </c>
      <c r="B8" s="350"/>
      <c r="C8" s="350"/>
      <c r="D8" s="350"/>
      <c r="E8" s="350"/>
      <c r="F8" s="350"/>
      <c r="G8" s="350"/>
      <c r="H8" s="350"/>
      <c r="I8" s="350"/>
      <c r="J8" s="350"/>
      <c r="K8" s="350"/>
      <c r="L8" s="351"/>
      <c r="M8" s="262"/>
      <c r="N8" s="262"/>
      <c r="O8" s="263"/>
      <c r="P8" s="263"/>
      <c r="Q8" s="263"/>
      <c r="R8" s="263"/>
      <c r="S8" s="263"/>
      <c r="T8" s="263"/>
      <c r="U8" s="263"/>
      <c r="V8" s="263"/>
      <c r="W8" s="263"/>
      <c r="X8" s="263"/>
      <c r="Y8" s="263"/>
      <c r="Z8" s="263"/>
      <c r="AA8" s="263"/>
      <c r="AB8" s="263"/>
      <c r="AC8" s="263"/>
      <c r="AD8" s="263"/>
      <c r="AE8" s="263"/>
      <c r="AF8" s="263"/>
      <c r="AG8" s="263"/>
      <c r="AH8" s="263"/>
      <c r="AI8" s="263"/>
      <c r="AJ8" s="263"/>
      <c r="AK8" s="263"/>
      <c r="AL8" s="263"/>
    </row>
    <row r="9" spans="1:38" s="264" customFormat="1" ht="16.5" customHeight="1" x14ac:dyDescent="0.2">
      <c r="A9" s="349" t="s">
        <v>128</v>
      </c>
      <c r="B9" s="350"/>
      <c r="C9" s="350"/>
      <c r="D9" s="350"/>
      <c r="E9" s="350"/>
      <c r="F9" s="350"/>
      <c r="G9" s="350"/>
      <c r="H9" s="350"/>
      <c r="I9" s="350"/>
      <c r="J9" s="350"/>
      <c r="K9" s="350"/>
      <c r="L9" s="351"/>
      <c r="M9" s="262"/>
      <c r="N9" s="262"/>
      <c r="O9" s="263"/>
      <c r="P9" s="263"/>
      <c r="Q9" s="263"/>
      <c r="R9" s="263"/>
      <c r="S9" s="263"/>
      <c r="T9" s="263"/>
      <c r="U9" s="263"/>
      <c r="V9" s="263"/>
      <c r="W9" s="263"/>
      <c r="X9" s="263"/>
      <c r="Y9" s="263"/>
      <c r="Z9" s="263"/>
      <c r="AA9" s="263"/>
      <c r="AB9" s="263"/>
      <c r="AC9" s="263"/>
      <c r="AD9" s="263"/>
      <c r="AE9" s="263"/>
      <c r="AF9" s="263"/>
      <c r="AG9" s="263"/>
      <c r="AH9" s="263"/>
      <c r="AI9" s="263"/>
      <c r="AJ9" s="263"/>
      <c r="AK9" s="263"/>
      <c r="AL9" s="263"/>
    </row>
    <row r="10" spans="1:38" ht="15" customHeight="1" x14ac:dyDescent="0.2">
      <c r="A10" s="355" t="s">
        <v>134</v>
      </c>
      <c r="B10" s="356"/>
      <c r="C10" s="356"/>
      <c r="D10" s="356"/>
      <c r="E10" s="356"/>
      <c r="F10" s="356"/>
      <c r="G10" s="356"/>
      <c r="H10" s="356"/>
      <c r="I10" s="356"/>
      <c r="J10" s="356"/>
      <c r="K10" s="356"/>
      <c r="L10" s="357"/>
      <c r="M10" s="50"/>
      <c r="N10" s="50"/>
    </row>
    <row r="11" spans="1:38" ht="15" customHeight="1" x14ac:dyDescent="0.2">
      <c r="A11" s="374" t="s">
        <v>11</v>
      </c>
      <c r="B11" s="375"/>
      <c r="C11" s="375"/>
      <c r="D11" s="375"/>
      <c r="E11" s="375"/>
      <c r="F11" s="375"/>
      <c r="G11" s="375"/>
      <c r="H11" s="375"/>
      <c r="I11" s="375"/>
      <c r="J11" s="375"/>
      <c r="K11" s="375"/>
      <c r="L11" s="376"/>
    </row>
    <row r="12" spans="1:38" ht="45" customHeight="1" x14ac:dyDescent="0.2">
      <c r="A12" s="371" t="s">
        <v>103</v>
      </c>
      <c r="B12" s="377"/>
      <c r="C12" s="377"/>
      <c r="D12" s="377"/>
      <c r="E12" s="377"/>
      <c r="F12" s="377"/>
      <c r="G12" s="377"/>
      <c r="H12" s="377"/>
      <c r="I12" s="377"/>
      <c r="J12" s="377"/>
      <c r="K12" s="377"/>
      <c r="L12" s="378"/>
    </row>
    <row r="13" spans="1:38" ht="15" customHeight="1" x14ac:dyDescent="0.2">
      <c r="A13" s="368" t="s">
        <v>12</v>
      </c>
      <c r="B13" s="369"/>
      <c r="C13" s="369"/>
      <c r="D13" s="369"/>
      <c r="E13" s="369"/>
      <c r="F13" s="369"/>
      <c r="G13" s="369"/>
      <c r="H13" s="369"/>
      <c r="I13" s="369"/>
      <c r="J13" s="369"/>
      <c r="K13" s="369"/>
      <c r="L13" s="370"/>
    </row>
    <row r="14" spans="1:38" ht="30" customHeight="1" x14ac:dyDescent="0.2">
      <c r="A14" s="371" t="s">
        <v>118</v>
      </c>
      <c r="B14" s="372"/>
      <c r="C14" s="372"/>
      <c r="D14" s="372"/>
      <c r="E14" s="372"/>
      <c r="F14" s="372"/>
      <c r="G14" s="372"/>
      <c r="H14" s="372"/>
      <c r="I14" s="372"/>
      <c r="J14" s="372"/>
      <c r="K14" s="372"/>
      <c r="L14" s="373"/>
    </row>
    <row r="15" spans="1:38" ht="15" customHeight="1" x14ac:dyDescent="0.2">
      <c r="A15" s="349" t="s">
        <v>15</v>
      </c>
      <c r="B15" s="350"/>
      <c r="C15" s="350"/>
      <c r="D15" s="350"/>
      <c r="E15" s="350"/>
      <c r="F15" s="350"/>
      <c r="G15" s="350"/>
      <c r="H15" s="350"/>
      <c r="I15" s="350"/>
      <c r="J15" s="350"/>
      <c r="K15" s="350"/>
      <c r="L15" s="351"/>
    </row>
    <row r="16" spans="1:38" s="5" customFormat="1" ht="15" customHeight="1" x14ac:dyDescent="0.2">
      <c r="A16" s="349" t="s">
        <v>13</v>
      </c>
      <c r="B16" s="350"/>
      <c r="C16" s="350"/>
      <c r="D16" s="350"/>
      <c r="E16" s="350"/>
      <c r="F16" s="350"/>
      <c r="G16" s="350"/>
      <c r="H16" s="350"/>
      <c r="I16" s="350"/>
      <c r="J16" s="350"/>
      <c r="K16" s="350"/>
      <c r="L16" s="351"/>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row>
    <row r="17" spans="1:38" s="4" customFormat="1" ht="30" customHeight="1" x14ac:dyDescent="0.2">
      <c r="A17" s="352" t="s">
        <v>14</v>
      </c>
      <c r="B17" s="353"/>
      <c r="C17" s="353"/>
      <c r="D17" s="353"/>
      <c r="E17" s="353"/>
      <c r="F17" s="353"/>
      <c r="G17" s="353"/>
      <c r="H17" s="353"/>
      <c r="I17" s="353"/>
      <c r="J17" s="353"/>
      <c r="K17" s="353"/>
      <c r="L17" s="354"/>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row>
    <row r="18" spans="1:38" s="6" customFormat="1" ht="30" customHeight="1" x14ac:dyDescent="0.2">
      <c r="A18" s="358" t="s">
        <v>45</v>
      </c>
      <c r="B18" s="353"/>
      <c r="C18" s="353"/>
      <c r="D18" s="353"/>
      <c r="E18" s="353"/>
      <c r="F18" s="353"/>
      <c r="G18" s="353"/>
      <c r="H18" s="353"/>
      <c r="I18" s="353"/>
      <c r="J18" s="353"/>
      <c r="K18" s="353"/>
      <c r="L18" s="354"/>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1:38" s="6" customFormat="1" ht="15" customHeight="1" x14ac:dyDescent="0.2">
      <c r="A19" s="358" t="s">
        <v>104</v>
      </c>
      <c r="B19" s="353"/>
      <c r="C19" s="353"/>
      <c r="D19" s="353"/>
      <c r="E19" s="353"/>
      <c r="F19" s="353"/>
      <c r="G19" s="353"/>
      <c r="H19" s="353"/>
      <c r="I19" s="353"/>
      <c r="J19" s="353"/>
      <c r="K19" s="353"/>
      <c r="L19" s="354"/>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row>
    <row r="20" spans="1:38" ht="15" customHeight="1" x14ac:dyDescent="0.2">
      <c r="A20" s="349" t="s">
        <v>31</v>
      </c>
      <c r="B20" s="350"/>
      <c r="C20" s="350"/>
      <c r="D20" s="350"/>
      <c r="E20" s="350"/>
      <c r="F20" s="350"/>
      <c r="G20" s="350"/>
      <c r="H20" s="350"/>
      <c r="I20" s="350"/>
      <c r="J20" s="350"/>
      <c r="K20" s="350"/>
      <c r="L20" s="351"/>
      <c r="N20" s="19"/>
    </row>
    <row r="21" spans="1:38" ht="15" customHeight="1" x14ac:dyDescent="0.2">
      <c r="A21" s="349" t="s">
        <v>127</v>
      </c>
      <c r="B21" s="350"/>
      <c r="C21" s="350"/>
      <c r="D21" s="350"/>
      <c r="E21" s="350"/>
      <c r="F21" s="350"/>
      <c r="G21" s="350"/>
      <c r="H21" s="350"/>
      <c r="I21" s="350"/>
      <c r="J21" s="350"/>
      <c r="K21" s="350"/>
      <c r="L21" s="351"/>
    </row>
    <row r="22" spans="1:38" ht="60" customHeight="1" x14ac:dyDescent="0.2">
      <c r="A22" s="352" t="s">
        <v>112</v>
      </c>
      <c r="B22" s="353"/>
      <c r="C22" s="353"/>
      <c r="D22" s="353"/>
      <c r="E22" s="353"/>
      <c r="F22" s="353"/>
      <c r="G22" s="353"/>
      <c r="H22" s="353"/>
      <c r="I22" s="353"/>
      <c r="J22" s="353"/>
      <c r="K22" s="353"/>
      <c r="L22" s="354"/>
    </row>
    <row r="23" spans="1:38" ht="60" customHeight="1" x14ac:dyDescent="0.2">
      <c r="A23" s="352" t="s">
        <v>111</v>
      </c>
      <c r="B23" s="353"/>
      <c r="C23" s="353"/>
      <c r="D23" s="353"/>
      <c r="E23" s="353"/>
      <c r="F23" s="353"/>
      <c r="G23" s="353"/>
      <c r="H23" s="353"/>
      <c r="I23" s="353"/>
      <c r="J23" s="353"/>
      <c r="K23" s="353"/>
      <c r="L23" s="354"/>
    </row>
    <row r="24" spans="1:38" ht="39.950000000000003" customHeight="1" x14ac:dyDescent="0.2">
      <c r="A24" s="352" t="s">
        <v>122</v>
      </c>
      <c r="B24" s="353"/>
      <c r="C24" s="353"/>
      <c r="D24" s="353"/>
      <c r="E24" s="353"/>
      <c r="F24" s="353"/>
      <c r="G24" s="353"/>
      <c r="H24" s="353"/>
      <c r="I24" s="353"/>
      <c r="J24" s="353"/>
      <c r="K24" s="353"/>
      <c r="L24" s="354"/>
    </row>
    <row r="25" spans="1:38" ht="39.950000000000003" customHeight="1" x14ac:dyDescent="0.2">
      <c r="A25" s="352" t="s">
        <v>113</v>
      </c>
      <c r="B25" s="353"/>
      <c r="C25" s="353"/>
      <c r="D25" s="353"/>
      <c r="E25" s="353"/>
      <c r="F25" s="353"/>
      <c r="G25" s="353"/>
      <c r="H25" s="353"/>
      <c r="I25" s="353"/>
      <c r="J25" s="353"/>
      <c r="K25" s="353"/>
      <c r="L25" s="354"/>
    </row>
    <row r="26" spans="1:38" ht="39.950000000000003" customHeight="1" x14ac:dyDescent="0.2">
      <c r="A26" s="352" t="s">
        <v>115</v>
      </c>
      <c r="B26" s="353"/>
      <c r="C26" s="353"/>
      <c r="D26" s="353"/>
      <c r="E26" s="353"/>
      <c r="F26" s="353"/>
      <c r="G26" s="353"/>
      <c r="H26" s="353"/>
      <c r="I26" s="353"/>
      <c r="J26" s="353"/>
      <c r="K26" s="353"/>
      <c r="L26" s="354"/>
    </row>
    <row r="27" spans="1:38" ht="30" customHeight="1" x14ac:dyDescent="0.2">
      <c r="A27" s="352" t="s">
        <v>114</v>
      </c>
      <c r="B27" s="353"/>
      <c r="C27" s="353"/>
      <c r="D27" s="353"/>
      <c r="E27" s="353"/>
      <c r="F27" s="353"/>
      <c r="G27" s="353"/>
      <c r="H27" s="353"/>
      <c r="I27" s="353"/>
      <c r="J27" s="353"/>
      <c r="K27" s="353"/>
      <c r="L27" s="354"/>
    </row>
    <row r="28" spans="1:38" ht="30" customHeight="1" x14ac:dyDescent="0.2">
      <c r="A28" s="359" t="s">
        <v>116</v>
      </c>
      <c r="B28" s="360"/>
      <c r="C28" s="360"/>
      <c r="D28" s="360"/>
      <c r="E28" s="360"/>
      <c r="F28" s="360"/>
      <c r="G28" s="360"/>
      <c r="H28" s="360"/>
      <c r="I28" s="360"/>
      <c r="J28" s="360"/>
      <c r="K28" s="360"/>
      <c r="L28" s="361"/>
    </row>
    <row r="29" spans="1:38" s="7" customFormat="1" x14ac:dyDescent="0.2">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row>
    <row r="30" spans="1:38" s="7" customFormat="1" x14ac:dyDescent="0.2">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row>
    <row r="31" spans="1:38" s="7" customFormat="1" x14ac:dyDescent="0.2">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row>
    <row r="32" spans="1:38" s="7" customFormat="1" x14ac:dyDescent="0.2">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row>
    <row r="33" spans="13:38" s="7" customFormat="1" x14ac:dyDescent="0.2">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row>
    <row r="34" spans="13:38" s="7" customFormat="1" x14ac:dyDescent="0.2">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row>
    <row r="35" spans="13:38" s="7" customFormat="1" x14ac:dyDescent="0.2">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row>
    <row r="36" spans="13:38" s="7" customFormat="1" x14ac:dyDescent="0.2">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row>
    <row r="37" spans="13:38" s="7" customFormat="1" x14ac:dyDescent="0.2">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row>
    <row r="38" spans="13:38" s="7" customFormat="1" x14ac:dyDescent="0.2">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row>
    <row r="39" spans="13:38" s="7" customFormat="1" x14ac:dyDescent="0.2">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row>
    <row r="40" spans="13:38" s="7" customFormat="1" x14ac:dyDescent="0.2">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row>
    <row r="41" spans="13:38" s="7" customFormat="1" x14ac:dyDescent="0.2">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row>
    <row r="42" spans="13:38" s="7" customFormat="1" x14ac:dyDescent="0.2">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row>
    <row r="43" spans="13:38" s="7" customFormat="1" x14ac:dyDescent="0.2">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row>
    <row r="44" spans="13:38" s="7" customFormat="1" x14ac:dyDescent="0.2">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row r="45" spans="13:38" s="7" customFormat="1" x14ac:dyDescent="0.2">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row>
    <row r="46" spans="13:38" s="7" customFormat="1" x14ac:dyDescent="0.2">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row>
    <row r="47" spans="13:38" s="7" customFormat="1" x14ac:dyDescent="0.2">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row>
    <row r="48" spans="13:38" s="7" customFormat="1" x14ac:dyDescent="0.2">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row>
    <row r="49" spans="13:38" s="7" customFormat="1" x14ac:dyDescent="0.2">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row>
    <row r="50" spans="13:38" s="7" customFormat="1" x14ac:dyDescent="0.2">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row>
    <row r="51" spans="13:38" s="7" customFormat="1" x14ac:dyDescent="0.2">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row>
    <row r="52" spans="13:38" s="7" customFormat="1" x14ac:dyDescent="0.2">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38" s="7" customFormat="1" x14ac:dyDescent="0.2">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row>
    <row r="54" spans="13:38" s="7" customFormat="1" x14ac:dyDescent="0.2">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row>
    <row r="55" spans="13:38" s="7" customFormat="1" x14ac:dyDescent="0.2">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13:38" s="7" customFormat="1" x14ac:dyDescent="0.2">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38" s="7" customFormat="1" x14ac:dyDescent="0.2">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38" s="7" customFormat="1" x14ac:dyDescent="0.2">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pans="13:38" s="7" customFormat="1" x14ac:dyDescent="0.2">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row>
    <row r="60" spans="13:38" s="7" customFormat="1" x14ac:dyDescent="0.2">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row>
    <row r="61" spans="13:38" s="7" customFormat="1" x14ac:dyDescent="0.2">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row>
    <row r="62" spans="13:38" s="7" customFormat="1" x14ac:dyDescent="0.2">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row>
    <row r="63" spans="13:38" s="7" customFormat="1" x14ac:dyDescent="0.2">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row>
    <row r="64" spans="13:38" s="7" customFormat="1" x14ac:dyDescent="0.2">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row>
    <row r="65" spans="13:38" s="7" customFormat="1" x14ac:dyDescent="0.2">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row>
    <row r="66" spans="13:38" s="7" customFormat="1" x14ac:dyDescent="0.2">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row>
    <row r="67" spans="13:38" s="7" customFormat="1" x14ac:dyDescent="0.2">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row>
    <row r="68" spans="13:38" s="7" customFormat="1" x14ac:dyDescent="0.2">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row>
    <row r="69" spans="13:38" s="7" customFormat="1" x14ac:dyDescent="0.2">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row>
    <row r="70" spans="13:38" s="7" customFormat="1" x14ac:dyDescent="0.2">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row>
    <row r="71" spans="13:38" s="7" customFormat="1" x14ac:dyDescent="0.2">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row>
    <row r="72" spans="13:38" s="7" customFormat="1" x14ac:dyDescent="0.2">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row>
    <row r="73" spans="13:38" s="7" customFormat="1" x14ac:dyDescent="0.2">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row>
    <row r="74" spans="13:38" s="7" customFormat="1" x14ac:dyDescent="0.2">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row>
    <row r="75" spans="13:38" s="7" customFormat="1" x14ac:dyDescent="0.2">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row>
    <row r="76" spans="13:38" s="7" customFormat="1" x14ac:dyDescent="0.2">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row>
    <row r="77" spans="13:38" s="7" customFormat="1" x14ac:dyDescent="0.2">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row>
    <row r="78" spans="13:38" s="7" customFormat="1" x14ac:dyDescent="0.2">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row>
    <row r="79" spans="13:38" s="7" customFormat="1" x14ac:dyDescent="0.2">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row>
    <row r="80" spans="13:38" s="7" customFormat="1" x14ac:dyDescent="0.2">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row>
    <row r="81" spans="13:38" s="7" customFormat="1" x14ac:dyDescent="0.2">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row>
    <row r="82" spans="13:38" s="7" customFormat="1" x14ac:dyDescent="0.2">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row>
    <row r="83" spans="13:38" s="7" customFormat="1" x14ac:dyDescent="0.2">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row>
    <row r="84" spans="13:38" s="7" customFormat="1" x14ac:dyDescent="0.2">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row>
    <row r="85" spans="13:38" s="7" customFormat="1" x14ac:dyDescent="0.2">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row>
    <row r="86" spans="13:38" s="7" customFormat="1" x14ac:dyDescent="0.2">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row>
    <row r="87" spans="13:38" s="7" customFormat="1" x14ac:dyDescent="0.2">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row>
    <row r="88" spans="13:38" s="7" customFormat="1" x14ac:dyDescent="0.2">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row>
    <row r="89" spans="13:38" s="7" customFormat="1" x14ac:dyDescent="0.2">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row>
    <row r="90" spans="13:38" s="7" customFormat="1" x14ac:dyDescent="0.2">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row>
    <row r="91" spans="13:38" s="7" customFormat="1" x14ac:dyDescent="0.2">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row>
    <row r="92" spans="13:38" s="7" customFormat="1" x14ac:dyDescent="0.2">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row>
    <row r="93" spans="13:38" s="7" customFormat="1" x14ac:dyDescent="0.2">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row>
    <row r="94" spans="13:38" s="7" customFormat="1" x14ac:dyDescent="0.2">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row>
    <row r="95" spans="13:38" s="7" customFormat="1" x14ac:dyDescent="0.2">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row>
    <row r="96" spans="13:38" s="7" customFormat="1" x14ac:dyDescent="0.2">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row>
    <row r="97" spans="13:38" s="7" customFormat="1" x14ac:dyDescent="0.2">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row>
    <row r="98" spans="13:38" s="7" customFormat="1" x14ac:dyDescent="0.2">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row>
    <row r="99" spans="13:38" s="7" customFormat="1" x14ac:dyDescent="0.2">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row>
    <row r="100" spans="13:38" s="7" customFormat="1" x14ac:dyDescent="0.2">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row>
    <row r="101" spans="13:38" s="7" customFormat="1" x14ac:dyDescent="0.2">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row>
    <row r="102" spans="13:38" s="7" customFormat="1" x14ac:dyDescent="0.2">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row>
    <row r="103" spans="13:38" s="7" customFormat="1" x14ac:dyDescent="0.2">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row>
    <row r="104" spans="13:38" s="7" customFormat="1" x14ac:dyDescent="0.2">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row>
    <row r="105" spans="13:38" s="7" customFormat="1" x14ac:dyDescent="0.2">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row>
    <row r="106" spans="13:38" s="7" customFormat="1" x14ac:dyDescent="0.2">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row>
    <row r="107" spans="13:38" s="7" customFormat="1" x14ac:dyDescent="0.2">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row>
    <row r="108" spans="13:38" s="7" customFormat="1" x14ac:dyDescent="0.2">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row>
    <row r="109" spans="13:38" s="7" customFormat="1" x14ac:dyDescent="0.2">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row>
    <row r="110" spans="13:38" s="7" customFormat="1" x14ac:dyDescent="0.2">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row>
    <row r="111" spans="13:38" s="7" customFormat="1" x14ac:dyDescent="0.2">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row>
    <row r="112" spans="13:38" s="7" customFormat="1" x14ac:dyDescent="0.2">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row>
    <row r="113" spans="13:38" s="7" customFormat="1" x14ac:dyDescent="0.2">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row>
    <row r="114" spans="13:38" s="7" customFormat="1" x14ac:dyDescent="0.2">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row>
    <row r="115" spans="13:38" s="7" customFormat="1" x14ac:dyDescent="0.2">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row>
    <row r="116" spans="13:38" s="7" customFormat="1" x14ac:dyDescent="0.2">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row>
    <row r="117" spans="13:38" s="7" customFormat="1" x14ac:dyDescent="0.2">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row>
    <row r="118" spans="13:38" s="7" customFormat="1" x14ac:dyDescent="0.2">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row>
    <row r="119" spans="13:38" s="7" customFormat="1" x14ac:dyDescent="0.2">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row>
    <row r="120" spans="13:38" s="7" customFormat="1" x14ac:dyDescent="0.2">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row>
    <row r="121" spans="13:38" s="7" customFormat="1" x14ac:dyDescent="0.2">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row>
    <row r="122" spans="13:38" s="7" customFormat="1" x14ac:dyDescent="0.2">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row>
    <row r="123" spans="13:38" s="7" customFormat="1" x14ac:dyDescent="0.2">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row>
    <row r="124" spans="13:38" s="7" customFormat="1" x14ac:dyDescent="0.2">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row>
    <row r="125" spans="13:38" s="7" customFormat="1" x14ac:dyDescent="0.2">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row>
    <row r="126" spans="13:38" s="7" customFormat="1" x14ac:dyDescent="0.2">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row>
    <row r="127" spans="13:38" s="7" customFormat="1" x14ac:dyDescent="0.2">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row>
    <row r="128" spans="13:38" s="7" customFormat="1" x14ac:dyDescent="0.2">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row>
    <row r="129" spans="13:38" s="7" customFormat="1" x14ac:dyDescent="0.2">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row>
    <row r="130" spans="13:38" s="7" customFormat="1" x14ac:dyDescent="0.2">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row>
    <row r="131" spans="13:38" s="7" customFormat="1" x14ac:dyDescent="0.2">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row>
    <row r="132" spans="13:38" s="7" customFormat="1" x14ac:dyDescent="0.2">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row>
    <row r="133" spans="13:38" s="7" customFormat="1" x14ac:dyDescent="0.2">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row>
    <row r="134" spans="13:38" s="7" customFormat="1" x14ac:dyDescent="0.2">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row>
    <row r="135" spans="13:38" s="7" customFormat="1" x14ac:dyDescent="0.2">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row>
    <row r="136" spans="13:38" s="7" customFormat="1" x14ac:dyDescent="0.2">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row>
    <row r="137" spans="13:38" s="7" customFormat="1" x14ac:dyDescent="0.2">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row>
    <row r="138" spans="13:38" s="7" customFormat="1" x14ac:dyDescent="0.2">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row>
    <row r="139" spans="13:38" s="7" customFormat="1" x14ac:dyDescent="0.2">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row>
    <row r="140" spans="13:38" s="7" customFormat="1" x14ac:dyDescent="0.2">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row>
    <row r="141" spans="13:38" s="7" customFormat="1" x14ac:dyDescent="0.2">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row>
    <row r="142" spans="13:38" s="7" customFormat="1" x14ac:dyDescent="0.2">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row>
    <row r="143" spans="13:38" s="7" customFormat="1" x14ac:dyDescent="0.2">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row>
    <row r="144" spans="13:38" s="7" customFormat="1" x14ac:dyDescent="0.2">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row>
    <row r="145" spans="13:38" s="7" customFormat="1" x14ac:dyDescent="0.2">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row>
    <row r="146" spans="13:38" s="7" customFormat="1" x14ac:dyDescent="0.2">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row>
    <row r="147" spans="13:38" s="7" customFormat="1" x14ac:dyDescent="0.2">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row>
    <row r="148" spans="13:38" s="7" customFormat="1" x14ac:dyDescent="0.2">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row>
    <row r="149" spans="13:38" s="7" customFormat="1" x14ac:dyDescent="0.2">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row>
    <row r="150" spans="13:38" s="7" customFormat="1" x14ac:dyDescent="0.2">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row>
    <row r="151" spans="13:38" s="7" customFormat="1" x14ac:dyDescent="0.2">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row>
    <row r="152" spans="13:38" s="7" customFormat="1" x14ac:dyDescent="0.2">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row>
    <row r="153" spans="13:38" s="7" customFormat="1" x14ac:dyDescent="0.2">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row>
    <row r="154" spans="13:38" s="7" customFormat="1" x14ac:dyDescent="0.2">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row>
    <row r="155" spans="13:38" s="7" customFormat="1" x14ac:dyDescent="0.2">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row>
    <row r="156" spans="13:38" s="7" customFormat="1" x14ac:dyDescent="0.2">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row>
    <row r="157" spans="13:38" s="7" customFormat="1" x14ac:dyDescent="0.2">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row>
    <row r="158" spans="13:38" s="7" customFormat="1" x14ac:dyDescent="0.2">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row>
    <row r="159" spans="13:38" s="7" customFormat="1" x14ac:dyDescent="0.2">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row>
    <row r="160" spans="13:38" s="7" customFormat="1" x14ac:dyDescent="0.2">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row>
    <row r="161" spans="13:38" s="7" customFormat="1" x14ac:dyDescent="0.2">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row>
    <row r="162" spans="13:38" s="7" customFormat="1" x14ac:dyDescent="0.2">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row>
    <row r="163" spans="13:38" s="7" customFormat="1" x14ac:dyDescent="0.2">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row>
    <row r="164" spans="13:38" s="7" customFormat="1" x14ac:dyDescent="0.2">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row>
    <row r="165" spans="13:38" s="7" customFormat="1" x14ac:dyDescent="0.2">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row>
    <row r="166" spans="13:38" s="7" customFormat="1" x14ac:dyDescent="0.2">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row>
    <row r="167" spans="13:38" s="7" customFormat="1" x14ac:dyDescent="0.2">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row>
    <row r="168" spans="13:38" s="7" customFormat="1" x14ac:dyDescent="0.2">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row>
    <row r="169" spans="13:38" s="7" customFormat="1" x14ac:dyDescent="0.2">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row>
    <row r="170" spans="13:38" s="7" customFormat="1" x14ac:dyDescent="0.2">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row>
    <row r="171" spans="13:38" s="7" customFormat="1" x14ac:dyDescent="0.2">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row>
    <row r="172" spans="13:38" s="7" customFormat="1" x14ac:dyDescent="0.2">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row>
    <row r="173" spans="13:38" s="7" customFormat="1" x14ac:dyDescent="0.2">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row>
    <row r="174" spans="13:38" s="7" customFormat="1" x14ac:dyDescent="0.2">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row>
    <row r="175" spans="13:38" s="7" customFormat="1" x14ac:dyDescent="0.2">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row>
    <row r="176" spans="13:38" s="7" customFormat="1" x14ac:dyDescent="0.2">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row>
    <row r="177" spans="13:38" s="7" customFormat="1" x14ac:dyDescent="0.2">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row>
    <row r="178" spans="13:38" s="7" customFormat="1" x14ac:dyDescent="0.2">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row>
    <row r="179" spans="13:38" s="7" customFormat="1" x14ac:dyDescent="0.2">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row>
    <row r="180" spans="13:38" s="7" customFormat="1" x14ac:dyDescent="0.2">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row>
    <row r="181" spans="13:38" s="7" customFormat="1" x14ac:dyDescent="0.2">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row>
    <row r="182" spans="13:38" s="7" customFormat="1" x14ac:dyDescent="0.2">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row>
    <row r="183" spans="13:38" s="7" customFormat="1" x14ac:dyDescent="0.2">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row>
  </sheetData>
  <mergeCells count="28">
    <mergeCell ref="A26:L26"/>
    <mergeCell ref="A27:L27"/>
    <mergeCell ref="A28:L28"/>
    <mergeCell ref="A1:L1"/>
    <mergeCell ref="A2:L2"/>
    <mergeCell ref="A3:L3"/>
    <mergeCell ref="A4:L4"/>
    <mergeCell ref="A5:L5"/>
    <mergeCell ref="A6:L6"/>
    <mergeCell ref="A15:L15"/>
    <mergeCell ref="A11:L11"/>
    <mergeCell ref="A12:L12"/>
    <mergeCell ref="A13:L13"/>
    <mergeCell ref="A14:L14"/>
    <mergeCell ref="A7:L7"/>
    <mergeCell ref="A9:L9"/>
    <mergeCell ref="A8:L8"/>
    <mergeCell ref="A22:L22"/>
    <mergeCell ref="A23:L23"/>
    <mergeCell ref="A24:L24"/>
    <mergeCell ref="A25:L25"/>
    <mergeCell ref="A10:L10"/>
    <mergeCell ref="A21:L21"/>
    <mergeCell ref="A16:L16"/>
    <mergeCell ref="A17:L17"/>
    <mergeCell ref="A19:L19"/>
    <mergeCell ref="A18:L18"/>
    <mergeCell ref="A20:L20"/>
  </mergeCells>
  <hyperlinks>
    <hyperlink ref="A10" r:id="rId1" xr:uid="{00000000-0004-0000-0000-000000000000}"/>
  </hyperlinks>
  <pageMargins left="0.7" right="0.7" top="0.75" bottom="0.75" header="0.3" footer="0.3"/>
  <pageSetup paperSize="8" scale="59" fitToHeight="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V350"/>
  <sheetViews>
    <sheetView workbookViewId="0">
      <pane xSplit="1" topLeftCell="B1" activePane="topRight" state="frozen"/>
      <selection pane="topRight" sqref="A1:G1"/>
    </sheetView>
  </sheetViews>
  <sheetFormatPr baseColWidth="10" defaultRowHeight="12.75" x14ac:dyDescent="0.2"/>
  <cols>
    <col min="1" max="1" width="77" style="20" customWidth="1"/>
    <col min="2" max="2" width="14.85546875" style="20" customWidth="1"/>
    <col min="3" max="3" width="13.28515625" style="20" customWidth="1"/>
    <col min="4" max="4" width="14.7109375" style="20" customWidth="1"/>
    <col min="5" max="5" width="14.5703125" style="20" customWidth="1"/>
    <col min="6" max="6" width="13.5703125" style="20" customWidth="1"/>
    <col min="7" max="7" width="15" style="20" customWidth="1"/>
    <col min="8" max="8" width="13.42578125" style="20" customWidth="1"/>
    <col min="9" max="9" width="13.7109375" style="20" customWidth="1"/>
    <col min="10" max="11" width="11.42578125" style="20"/>
    <col min="12" max="12" width="11.42578125" style="19"/>
    <col min="13" max="13" width="13.140625" style="19" customWidth="1"/>
    <col min="14" max="38" width="11.42578125" style="19"/>
    <col min="39" max="16384" width="11.42578125" style="20"/>
  </cols>
  <sheetData>
    <row r="1" spans="1:48" ht="17.25" customHeight="1" thickBot="1" x14ac:dyDescent="0.25">
      <c r="A1" s="379" t="s">
        <v>119</v>
      </c>
      <c r="B1" s="380"/>
      <c r="C1" s="380"/>
      <c r="D1" s="380"/>
      <c r="E1" s="380"/>
      <c r="F1" s="380"/>
      <c r="G1" s="380"/>
      <c r="H1" s="9"/>
      <c r="I1" s="19"/>
      <c r="J1" s="19"/>
      <c r="K1" s="19"/>
    </row>
    <row r="2" spans="1:48" ht="17.25" customHeight="1" x14ac:dyDescent="0.2">
      <c r="A2" s="26" t="s">
        <v>27</v>
      </c>
      <c r="B2" s="8"/>
      <c r="C2" s="10"/>
      <c r="D2" s="10"/>
      <c r="E2" s="10"/>
      <c r="F2" s="10"/>
      <c r="G2" s="9"/>
      <c r="H2" s="19"/>
      <c r="I2" s="19"/>
      <c r="J2" s="19"/>
      <c r="K2" s="19"/>
    </row>
    <row r="3" spans="1:48" ht="33" customHeight="1" thickBot="1" x14ac:dyDescent="0.25">
      <c r="A3" s="382" t="s">
        <v>47</v>
      </c>
      <c r="B3" s="382"/>
      <c r="C3" s="382"/>
      <c r="D3" s="22"/>
      <c r="E3" s="11"/>
      <c r="F3" s="21"/>
      <c r="G3" s="21"/>
      <c r="H3" s="21"/>
      <c r="I3" s="21"/>
      <c r="J3" s="21"/>
      <c r="K3" s="21"/>
    </row>
    <row r="4" spans="1:48" ht="13.5" customHeight="1" x14ac:dyDescent="0.2">
      <c r="A4" s="47"/>
      <c r="B4" s="48">
        <v>2020</v>
      </c>
      <c r="C4" s="48" t="s">
        <v>46</v>
      </c>
      <c r="D4" s="48" t="s">
        <v>126</v>
      </c>
      <c r="E4" s="11"/>
      <c r="F4" s="21"/>
      <c r="G4" s="21"/>
      <c r="H4" s="21"/>
      <c r="I4" s="21"/>
      <c r="J4" s="21"/>
      <c r="K4" s="21"/>
    </row>
    <row r="5" spans="1:48" ht="12.75" customHeight="1" x14ac:dyDescent="0.2">
      <c r="A5" s="42" t="s">
        <v>48</v>
      </c>
      <c r="B5" s="274">
        <f>VLOOKUP(A2,calculs_2020_2021_2022!A4:EN22,2,FALSE  )</f>
        <v>13697</v>
      </c>
      <c r="C5" s="274">
        <f>VLOOKUP(A2,calculs_2020_2021_2022!A29:EN47,2,FALSE  )</f>
        <v>13713</v>
      </c>
      <c r="D5" s="274">
        <f>VLOOKUP(A2,calculs_2020_2021_2022!A54:EN72,2,FALSE  )</f>
        <v>14032</v>
      </c>
      <c r="E5" s="11"/>
      <c r="F5" s="21"/>
      <c r="G5" s="21"/>
      <c r="H5" s="21"/>
      <c r="I5" s="21"/>
      <c r="J5" s="21"/>
      <c r="K5" s="21"/>
    </row>
    <row r="6" spans="1:48" ht="12.75" customHeight="1" x14ac:dyDescent="0.2">
      <c r="A6" s="42" t="s">
        <v>49</v>
      </c>
      <c r="B6" s="274">
        <f>VLOOKUP(A2,calculs_2020_2021_2022!A4:EN22,3,FALSE )</f>
        <v>1250676.5741976965</v>
      </c>
      <c r="C6" s="274">
        <f>VLOOKUP(A2,calculs_2020_2021_2022!A29:EN47,3,FALSE )</f>
        <v>1243697.8435294318</v>
      </c>
      <c r="D6" s="274">
        <f>VLOOKUP(A2,calculs_2020_2021_2022!A54:EN72,3,FALSE )</f>
        <v>1266564.5719652628</v>
      </c>
      <c r="E6" s="11"/>
      <c r="F6" s="21"/>
      <c r="G6" s="23"/>
      <c r="H6" s="21"/>
      <c r="I6" s="21"/>
      <c r="J6" s="21"/>
      <c r="K6" s="21"/>
    </row>
    <row r="7" spans="1:48" ht="12.75" customHeight="1" x14ac:dyDescent="0.2">
      <c r="A7" s="42" t="s">
        <v>50</v>
      </c>
      <c r="B7" s="274">
        <f>VLOOKUP(A2,calculs_2020_2021_2022!A4:EN22,4,FALSE )</f>
        <v>68257</v>
      </c>
      <c r="C7" s="274">
        <f>VLOOKUP(A2,calculs_2020_2021_2022!A29:EN47,4,FALSE )</f>
        <v>67879</v>
      </c>
      <c r="D7" s="274">
        <f>VLOOKUP(A2,calculs_2020_2021_2022!A54:EN72,4,FALSE )</f>
        <v>69075</v>
      </c>
      <c r="E7" s="21"/>
      <c r="F7" s="21"/>
      <c r="G7" s="21"/>
      <c r="H7" s="21"/>
      <c r="I7" s="21"/>
      <c r="J7" s="21"/>
      <c r="K7" s="21"/>
    </row>
    <row r="8" spans="1:48" ht="12.75" customHeight="1" thickBot="1" x14ac:dyDescent="0.25">
      <c r="A8" s="43" t="s">
        <v>1</v>
      </c>
      <c r="B8" s="348">
        <f>ROUND((B7/B6*100),1)</f>
        <v>5.5</v>
      </c>
      <c r="C8" s="348">
        <f>ROUND((C7/C6*100),1)</f>
        <v>5.5</v>
      </c>
      <c r="D8" s="348">
        <f>ROUND((D7/D6*100),1)</f>
        <v>5.5</v>
      </c>
      <c r="E8" s="21"/>
      <c r="F8" s="21"/>
      <c r="G8" s="21"/>
      <c r="H8" s="21"/>
      <c r="I8" s="21"/>
      <c r="J8" s="21"/>
      <c r="K8" s="21"/>
    </row>
    <row r="9" spans="1:48" s="99" customFormat="1" ht="12.75" customHeight="1" x14ac:dyDescent="0.25">
      <c r="A9" s="387" t="s">
        <v>67</v>
      </c>
      <c r="B9" s="388"/>
      <c r="C9" s="388"/>
      <c r="D9" s="389"/>
      <c r="G9" s="101"/>
      <c r="H9" s="97"/>
      <c r="I9" s="101"/>
      <c r="J9" s="101"/>
      <c r="K9" s="101"/>
      <c r="L9" s="101"/>
      <c r="M9" s="101"/>
      <c r="N9" s="101"/>
      <c r="O9" s="101"/>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row>
    <row r="10" spans="1:48" x14ac:dyDescent="0.2">
      <c r="A10" s="398" t="s">
        <v>51</v>
      </c>
      <c r="B10" s="399"/>
      <c r="C10" s="399"/>
      <c r="D10" s="400"/>
      <c r="E10" s="21"/>
      <c r="F10" s="21"/>
      <c r="G10" s="21"/>
      <c r="H10" s="21"/>
      <c r="I10" s="21"/>
      <c r="J10" s="21"/>
      <c r="K10" s="21"/>
    </row>
    <row r="11" spans="1:48" ht="25.5" customHeight="1" x14ac:dyDescent="0.2">
      <c r="A11" s="398" t="s">
        <v>2</v>
      </c>
      <c r="B11" s="399"/>
      <c r="C11" s="399"/>
      <c r="D11" s="400"/>
      <c r="E11" s="21"/>
      <c r="F11" s="21"/>
      <c r="G11" s="21"/>
      <c r="H11" s="21"/>
      <c r="I11" s="21"/>
      <c r="J11" s="21"/>
      <c r="K11" s="21"/>
    </row>
    <row r="12" spans="1:48" ht="27" customHeight="1" x14ac:dyDescent="0.2">
      <c r="A12" s="398" t="s">
        <v>123</v>
      </c>
      <c r="B12" s="399"/>
      <c r="C12" s="399"/>
      <c r="D12" s="400"/>
      <c r="E12" s="21"/>
      <c r="F12" s="21"/>
      <c r="G12" s="21"/>
      <c r="H12" s="21"/>
      <c r="I12" s="21"/>
      <c r="J12" s="21"/>
      <c r="K12" s="21"/>
    </row>
    <row r="13" spans="1:48" x14ac:dyDescent="0.2">
      <c r="A13" s="395" t="s">
        <v>133</v>
      </c>
      <c r="B13" s="396"/>
      <c r="C13" s="396"/>
      <c r="D13" s="397"/>
      <c r="E13" s="21"/>
      <c r="F13" s="21"/>
      <c r="G13" s="21"/>
      <c r="H13" s="21"/>
      <c r="I13" s="21"/>
      <c r="J13" s="21"/>
      <c r="K13" s="21"/>
    </row>
    <row r="14" spans="1:48" x14ac:dyDescent="0.2">
      <c r="A14" s="136"/>
      <c r="B14" s="136"/>
      <c r="C14" s="136"/>
      <c r="D14" s="21"/>
      <c r="E14" s="21"/>
      <c r="F14" s="21"/>
      <c r="G14" s="21"/>
      <c r="H14" s="21"/>
      <c r="I14" s="21"/>
      <c r="J14" s="21"/>
      <c r="K14" s="21"/>
    </row>
    <row r="15" spans="1:48" x14ac:dyDescent="0.2">
      <c r="A15" s="21"/>
      <c r="B15" s="21"/>
      <c r="C15" s="21"/>
      <c r="D15" s="21"/>
      <c r="E15" s="21"/>
      <c r="F15" s="21"/>
      <c r="G15" s="21"/>
      <c r="H15" s="21"/>
      <c r="I15" s="21"/>
      <c r="J15" s="21"/>
      <c r="K15" s="21"/>
    </row>
    <row r="16" spans="1:48" ht="33" customHeight="1" thickBot="1" x14ac:dyDescent="0.25">
      <c r="A16" s="381" t="s">
        <v>53</v>
      </c>
      <c r="B16" s="381"/>
      <c r="C16" s="381"/>
      <c r="D16" s="1"/>
      <c r="E16" s="1"/>
      <c r="F16" s="21"/>
      <c r="G16" s="21"/>
      <c r="H16" s="21"/>
      <c r="I16" s="21"/>
      <c r="J16" s="21"/>
      <c r="K16" s="21"/>
    </row>
    <row r="17" spans="1:48" ht="13.5" thickBot="1" x14ac:dyDescent="0.25">
      <c r="A17" s="47"/>
      <c r="B17" s="48">
        <v>2020</v>
      </c>
      <c r="C17" s="48" t="s">
        <v>46</v>
      </c>
      <c r="D17" s="48" t="s">
        <v>126</v>
      </c>
      <c r="E17" s="24"/>
      <c r="F17" s="21"/>
      <c r="G17" s="21"/>
      <c r="H17" s="21"/>
      <c r="I17" s="21"/>
      <c r="J17" s="21"/>
      <c r="K17" s="21"/>
    </row>
    <row r="18" spans="1:48" ht="12.75" customHeight="1" x14ac:dyDescent="0.2">
      <c r="A18" s="38" t="s">
        <v>0</v>
      </c>
      <c r="B18" s="275">
        <f>VLOOKUP(A2,calculs_2020_2021_2022!A4:EN22,5,FALSE )</f>
        <v>69774</v>
      </c>
      <c r="C18" s="275">
        <f>VLOOKUP(A2,calculs_2020_2021_2022!A29:EN47,5,FALSE )</f>
        <v>69961</v>
      </c>
      <c r="D18" s="275">
        <f>VLOOKUP(A2,calculs_2020_2021_2022!A54:EN72,5,FALSE )</f>
        <v>71428</v>
      </c>
      <c r="E18" s="21"/>
      <c r="F18" s="21"/>
      <c r="G18" s="21"/>
      <c r="H18" s="21"/>
      <c r="I18" s="21"/>
      <c r="J18" s="21"/>
      <c r="K18" s="21"/>
    </row>
    <row r="19" spans="1:48" ht="12.75" customHeight="1" x14ac:dyDescent="0.2">
      <c r="A19" s="39" t="s">
        <v>54</v>
      </c>
      <c r="B19" s="274">
        <f>VLOOKUP(A2,calculs_2020_2021_2022!A4:EN22,6,FALSE )</f>
        <v>43776.596243664215</v>
      </c>
      <c r="C19" s="274">
        <f>VLOOKUP(A2,calculs_2020_2021_2022!A29:EN47,6,FALSE )</f>
        <v>45604.517940996731</v>
      </c>
      <c r="D19" s="274">
        <f>VLOOKUP(A2,calculs_2020_2021_2022!A54:EN72,6,FALSE )</f>
        <v>45991.126027620492</v>
      </c>
      <c r="E19" s="21"/>
      <c r="F19" s="21"/>
      <c r="G19" s="21"/>
      <c r="H19" s="21"/>
      <c r="I19" s="21"/>
      <c r="J19" s="21"/>
      <c r="K19" s="21"/>
    </row>
    <row r="20" spans="1:48" ht="12.75" customHeight="1" x14ac:dyDescent="0.2">
      <c r="A20" s="40" t="s">
        <v>40</v>
      </c>
      <c r="B20" s="276">
        <f>ROUND((B19/B6*100),1)</f>
        <v>3.5</v>
      </c>
      <c r="C20" s="276">
        <f>ROUND((C19/C6*100),1)</f>
        <v>3.7</v>
      </c>
      <c r="D20" s="276">
        <f>ROUND((D19/D6*100),1)</f>
        <v>3.6</v>
      </c>
      <c r="E20" s="21"/>
      <c r="F20" s="21"/>
      <c r="G20" s="21"/>
      <c r="H20" s="21"/>
      <c r="I20" s="21"/>
      <c r="J20" s="21"/>
      <c r="K20" s="21"/>
    </row>
    <row r="21" spans="1:48" ht="12.75" customHeight="1" x14ac:dyDescent="0.2">
      <c r="A21" s="39" t="s">
        <v>56</v>
      </c>
      <c r="B21" s="274">
        <f>VLOOKUP(A2,calculs_2020_2021_2022!A4:EN22,7,FALSE )</f>
        <v>55939.171010780497</v>
      </c>
      <c r="C21" s="274">
        <f>VLOOKUP(A2,calculs_2020_2021_2022!A29:EN47,7,FALSE )</f>
        <v>58362.493532932036</v>
      </c>
      <c r="D21" s="274">
        <f>VLOOKUP(A2,calculs_2020_2021_2022!A54:EN72,7,FALSE )</f>
        <v>59215.542596075065</v>
      </c>
      <c r="E21" s="21"/>
      <c r="F21" s="21"/>
      <c r="G21" s="21"/>
      <c r="H21" s="21"/>
      <c r="I21" s="21"/>
      <c r="J21" s="21"/>
      <c r="K21" s="21"/>
    </row>
    <row r="22" spans="1:48" ht="13.5" thickBot="1" x14ac:dyDescent="0.25">
      <c r="A22" s="41" t="s">
        <v>57</v>
      </c>
      <c r="B22" s="277">
        <f>ROUND((B21/B6*100),1)</f>
        <v>4.5</v>
      </c>
      <c r="C22" s="277">
        <f>ROUND((C21/C6*100),1)</f>
        <v>4.7</v>
      </c>
      <c r="D22" s="277">
        <f>ROUND((D21/D6*100),1)</f>
        <v>4.7</v>
      </c>
      <c r="E22" s="21"/>
      <c r="F22" s="21"/>
      <c r="G22" s="21"/>
      <c r="H22" s="21"/>
      <c r="I22" s="21"/>
      <c r="J22" s="21"/>
      <c r="K22" s="21"/>
    </row>
    <row r="23" spans="1:48" s="99" customFormat="1" ht="12.75" customHeight="1" x14ac:dyDescent="0.25">
      <c r="A23" s="387" t="s">
        <v>67</v>
      </c>
      <c r="B23" s="388"/>
      <c r="C23" s="388"/>
      <c r="D23" s="389"/>
      <c r="G23" s="101"/>
      <c r="H23" s="97"/>
      <c r="I23" s="101"/>
      <c r="J23" s="101"/>
      <c r="K23" s="101"/>
      <c r="L23" s="101"/>
      <c r="M23" s="101"/>
      <c r="N23" s="101"/>
      <c r="O23" s="101"/>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row>
    <row r="24" spans="1:48" ht="36.75" customHeight="1" x14ac:dyDescent="0.2">
      <c r="A24" s="398" t="s">
        <v>91</v>
      </c>
      <c r="B24" s="399"/>
      <c r="C24" s="399"/>
      <c r="D24" s="400"/>
      <c r="E24" s="2"/>
      <c r="F24" s="21"/>
      <c r="G24" s="21"/>
      <c r="H24" s="21"/>
      <c r="I24" s="21"/>
      <c r="J24" s="21"/>
      <c r="K24" s="21"/>
    </row>
    <row r="25" spans="1:48" ht="25.5" customHeight="1" x14ac:dyDescent="0.2">
      <c r="A25" s="398" t="s">
        <v>55</v>
      </c>
      <c r="B25" s="399"/>
      <c r="C25" s="399"/>
      <c r="D25" s="400"/>
      <c r="E25" s="2"/>
      <c r="F25" s="21"/>
      <c r="G25" s="21"/>
      <c r="H25" s="21"/>
      <c r="I25" s="21"/>
      <c r="J25" s="21"/>
      <c r="K25" s="21"/>
    </row>
    <row r="26" spans="1:48" ht="25.5" customHeight="1" x14ac:dyDescent="0.2">
      <c r="A26" s="398" t="s">
        <v>90</v>
      </c>
      <c r="B26" s="399"/>
      <c r="C26" s="399"/>
      <c r="D26" s="400"/>
      <c r="E26" s="2"/>
      <c r="F26" s="21"/>
      <c r="G26" s="21"/>
      <c r="H26" s="21"/>
      <c r="I26" s="21"/>
      <c r="J26" s="21"/>
      <c r="K26" s="21"/>
    </row>
    <row r="27" spans="1:48" ht="12.75" customHeight="1" x14ac:dyDescent="0.2">
      <c r="A27" s="398" t="s">
        <v>52</v>
      </c>
      <c r="B27" s="399"/>
      <c r="C27" s="399"/>
      <c r="D27" s="400"/>
      <c r="E27" s="2"/>
      <c r="F27" s="21"/>
      <c r="G27" s="21"/>
      <c r="H27" s="21"/>
      <c r="I27" s="21"/>
      <c r="J27" s="21"/>
      <c r="K27" s="21"/>
    </row>
    <row r="28" spans="1:48" ht="12.75" customHeight="1" x14ac:dyDescent="0.2">
      <c r="A28" s="395" t="s">
        <v>133</v>
      </c>
      <c r="B28" s="396"/>
      <c r="C28" s="396"/>
      <c r="D28" s="397"/>
      <c r="E28" s="2"/>
      <c r="F28" s="21"/>
      <c r="G28" s="21"/>
      <c r="H28" s="21"/>
      <c r="I28" s="21"/>
      <c r="J28" s="21"/>
      <c r="K28" s="21"/>
    </row>
    <row r="29" spans="1:48" ht="12.75" customHeight="1" x14ac:dyDescent="0.2">
      <c r="A29" s="3"/>
      <c r="B29" s="3"/>
      <c r="C29" s="2"/>
      <c r="D29" s="2"/>
      <c r="E29" s="2"/>
      <c r="F29" s="21"/>
      <c r="G29" s="21"/>
      <c r="H29" s="21"/>
      <c r="I29" s="21"/>
      <c r="J29" s="21"/>
      <c r="K29" s="21"/>
    </row>
    <row r="30" spans="1:48" x14ac:dyDescent="0.2">
      <c r="A30" s="21"/>
      <c r="B30" s="21"/>
      <c r="C30" s="21"/>
      <c r="D30" s="21"/>
      <c r="E30" s="21"/>
      <c r="F30" s="21"/>
      <c r="G30" s="21"/>
      <c r="H30" s="21"/>
      <c r="I30" s="21"/>
      <c r="J30" s="21"/>
      <c r="K30" s="21"/>
    </row>
    <row r="31" spans="1:48" s="99" customFormat="1" ht="33" customHeight="1" x14ac:dyDescent="0.2">
      <c r="A31" s="383" t="s">
        <v>92</v>
      </c>
      <c r="B31" s="383"/>
      <c r="C31" s="383"/>
      <c r="D31" s="96"/>
      <c r="E31" s="96"/>
      <c r="F31" s="96"/>
      <c r="G31" s="96"/>
      <c r="H31" s="96"/>
      <c r="I31" s="96"/>
      <c r="J31" s="96"/>
      <c r="K31" s="96"/>
      <c r="L31" s="96"/>
      <c r="M31" s="96"/>
      <c r="N31" s="96"/>
      <c r="O31" s="96"/>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row>
    <row r="32" spans="1:48" s="99" customFormat="1" ht="15.75" thickBot="1" x14ac:dyDescent="0.3">
      <c r="A32" s="98"/>
      <c r="D32" s="106" t="s">
        <v>3</v>
      </c>
      <c r="E32" s="100"/>
      <c r="F32" s="100"/>
      <c r="G32" s="101"/>
      <c r="H32" s="97"/>
      <c r="I32" s="101"/>
      <c r="J32" s="101"/>
      <c r="K32" s="101"/>
      <c r="L32" s="101"/>
      <c r="M32" s="101"/>
      <c r="N32" s="101"/>
      <c r="O32" s="101"/>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row>
    <row r="33" spans="1:48" s="99" customFormat="1" ht="15.75" thickBot="1" x14ac:dyDescent="0.3">
      <c r="A33" s="131"/>
      <c r="B33" s="48">
        <v>2020</v>
      </c>
      <c r="C33" s="48" t="s">
        <v>46</v>
      </c>
      <c r="D33" s="48" t="s">
        <v>126</v>
      </c>
      <c r="G33" s="101"/>
      <c r="H33" s="97"/>
      <c r="I33" s="101"/>
      <c r="J33" s="101"/>
      <c r="K33" s="101"/>
      <c r="L33" s="101"/>
      <c r="M33" s="101"/>
      <c r="N33" s="101"/>
      <c r="O33" s="101"/>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row>
    <row r="34" spans="1:48" s="99" customFormat="1" ht="12.75" customHeight="1" x14ac:dyDescent="0.25">
      <c r="A34" s="135" t="s">
        <v>69</v>
      </c>
      <c r="B34" s="343">
        <f>VLOOKUP(A2,calculs_2020_2021_2022!A4:EN22,8,FALSE )</f>
        <v>81.953749814349436</v>
      </c>
      <c r="C34" s="278">
        <f>VLOOKUP(A2,calculs_2020_2021_2022!A29:EN47,8,FALSE )</f>
        <v>85.980190534527665</v>
      </c>
      <c r="D34" s="278">
        <f>VLOOKUP(A2,calculs_2020_2021_2022!A54:EN72,8,FALSE )</f>
        <v>85.726446031234261</v>
      </c>
      <c r="G34" s="101"/>
      <c r="H34" s="97"/>
      <c r="I34" s="101"/>
      <c r="J34" s="101"/>
      <c r="K34" s="101"/>
      <c r="L34" s="101"/>
      <c r="M34" s="101"/>
      <c r="N34" s="101"/>
      <c r="O34" s="101"/>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row>
    <row r="35" spans="1:48" s="99" customFormat="1" ht="12.75" customHeight="1" x14ac:dyDescent="0.25">
      <c r="A35" s="134" t="s">
        <v>60</v>
      </c>
      <c r="B35" s="344"/>
      <c r="C35" s="279"/>
      <c r="D35" s="279"/>
      <c r="G35" s="101"/>
      <c r="H35" s="97"/>
      <c r="I35" s="101"/>
      <c r="J35" s="101"/>
      <c r="K35" s="101"/>
      <c r="L35" s="101"/>
      <c r="M35" s="101"/>
      <c r="N35" s="101"/>
      <c r="O35" s="101"/>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row>
    <row r="36" spans="1:48" s="99" customFormat="1" ht="12.75" customHeight="1" x14ac:dyDescent="0.25">
      <c r="A36" s="132" t="s">
        <v>61</v>
      </c>
      <c r="B36" s="345">
        <f>VLOOKUP(A2,calculs_2020_2021_2022!A4:EN22,9,FALSE )</f>
        <v>29.393297802438489</v>
      </c>
      <c r="C36" s="280">
        <f>VLOOKUP(A2,calculs_2020_2021_2022!A29:EN47,9,FALSE )</f>
        <v>26.558739881863925</v>
      </c>
      <c r="D36" s="280">
        <f>VLOOKUP(A2,calculs_2020_2021_2022!A54:EN72,9,FALSE )</f>
        <v>26.068985176738884</v>
      </c>
      <c r="G36" s="101"/>
      <c r="H36" s="97"/>
      <c r="I36" s="101"/>
      <c r="J36" s="101"/>
      <c r="K36" s="101"/>
      <c r="L36" s="101"/>
      <c r="M36" s="101"/>
      <c r="N36" s="101"/>
      <c r="O36" s="101"/>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row>
    <row r="37" spans="1:48" s="99" customFormat="1" ht="12.75" customHeight="1" x14ac:dyDescent="0.25">
      <c r="A37" s="132" t="s">
        <v>62</v>
      </c>
      <c r="B37" s="345">
        <f>VLOOKUP(A2,calculs_2020_2021_2022!A4:EN22,10,FALSE )</f>
        <v>9.0822807914141777</v>
      </c>
      <c r="C37" s="280">
        <f>VLOOKUP(A2,calculs_2020_2021_2022!A29:EN47,10,FALSE )</f>
        <v>8.5174651790271998</v>
      </c>
      <c r="D37" s="280">
        <f>VLOOKUP(A2,calculs_2020_2021_2022!A54:EN72,10,FALSE )</f>
        <v>8.5946408209806169</v>
      </c>
      <c r="G37" s="101"/>
      <c r="H37" s="97"/>
      <c r="I37" s="101"/>
      <c r="J37" s="101"/>
      <c r="K37" s="101"/>
      <c r="L37" s="101"/>
      <c r="M37" s="101"/>
      <c r="N37" s="101"/>
      <c r="O37" s="101"/>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row>
    <row r="38" spans="1:48" s="99" customFormat="1" ht="12.75" customHeight="1" x14ac:dyDescent="0.25">
      <c r="A38" s="132" t="s">
        <v>63</v>
      </c>
      <c r="B38" s="345">
        <f>VLOOKUP(A2,calculs_2020_2021_2022!A4:EN22,11,FALSE )</f>
        <v>10.863692779440754</v>
      </c>
      <c r="C38" s="280">
        <f>VLOOKUP(A2,calculs_2020_2021_2022!A29:EN47,11,FALSE )</f>
        <v>10.391599212426165</v>
      </c>
      <c r="D38" s="280">
        <f>VLOOKUP(A2,calculs_2020_2021_2022!A54:EN72,11,FALSE )</f>
        <v>10.433295324971494</v>
      </c>
      <c r="G38" s="101"/>
      <c r="H38" s="97"/>
      <c r="I38" s="101"/>
      <c r="J38" s="101"/>
      <c r="K38" s="101"/>
      <c r="L38" s="101"/>
      <c r="M38" s="101"/>
      <c r="N38" s="101"/>
      <c r="O38" s="101"/>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row>
    <row r="39" spans="1:48" s="99" customFormat="1" ht="12.75" customHeight="1" x14ac:dyDescent="0.25">
      <c r="A39" s="132" t="s">
        <v>64</v>
      </c>
      <c r="B39" s="345">
        <f>VLOOKUP(A2,calculs_2020_2021_2022!A4:EN22,12,FALSE )</f>
        <v>11.425859677301599</v>
      </c>
      <c r="C39" s="280">
        <f>VLOOKUP(A2,calculs_2020_2021_2022!A29:EN47,12,FALSE )</f>
        <v>11.871946328301613</v>
      </c>
      <c r="D39" s="280">
        <f>VLOOKUP(A2,calculs_2020_2021_2022!A54:EN72,12,FALSE )</f>
        <v>11.488027366020525</v>
      </c>
      <c r="G39" s="101"/>
      <c r="H39" s="97"/>
      <c r="I39" s="101"/>
      <c r="J39" s="101"/>
      <c r="K39" s="101"/>
      <c r="L39" s="101"/>
      <c r="M39" s="101"/>
      <c r="N39" s="101"/>
      <c r="O39" s="101"/>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row>
    <row r="40" spans="1:48" s="99" customFormat="1" ht="12.75" customHeight="1" x14ac:dyDescent="0.25">
      <c r="A40" s="132" t="s">
        <v>65</v>
      </c>
      <c r="B40" s="345">
        <f>VLOOKUP(A2,calculs_2020_2021_2022!A4:EN22,13,FALSE )</f>
        <v>9.9218807038037529</v>
      </c>
      <c r="C40" s="280">
        <f>VLOOKUP(A2,calculs_2020_2021_2022!A29:EN47,13,FALSE )</f>
        <v>10.646831473784001</v>
      </c>
      <c r="D40" s="280">
        <f>VLOOKUP(A2,calculs_2020_2021_2022!A54:EN72,13,FALSE )</f>
        <v>10.625712656784494</v>
      </c>
      <c r="G40" s="101"/>
      <c r="H40" s="97"/>
      <c r="I40" s="101"/>
      <c r="J40" s="101"/>
      <c r="K40" s="101"/>
      <c r="L40" s="101"/>
      <c r="M40" s="101"/>
      <c r="N40" s="101"/>
      <c r="O40" s="101"/>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row>
    <row r="41" spans="1:48" s="99" customFormat="1" ht="12.75" customHeight="1" thickBot="1" x14ac:dyDescent="0.3">
      <c r="A41" s="133" t="s">
        <v>110</v>
      </c>
      <c r="B41" s="346">
        <f>VLOOKUP(A2,calculs_2020_2021_2022!A4:EN22,14,FALSE )</f>
        <v>29.312988245601229</v>
      </c>
      <c r="C41" s="281">
        <f>VLOOKUP(A2,calculs_2020_2021_2022!A29:EN47,14,FALSE )</f>
        <v>32.0134179245971</v>
      </c>
      <c r="D41" s="281">
        <f>VLOOKUP(A2,calculs_2020_2021_2022!A54:EN72,14,FALSE )</f>
        <v>32.789338654503993</v>
      </c>
      <c r="G41" s="101"/>
      <c r="H41" s="97"/>
      <c r="I41" s="101"/>
      <c r="J41" s="101"/>
      <c r="K41" s="101"/>
      <c r="L41" s="101"/>
      <c r="M41" s="101"/>
      <c r="N41" s="101"/>
      <c r="O41" s="101"/>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row>
    <row r="42" spans="1:48" s="99" customFormat="1" ht="12.75" customHeight="1" x14ac:dyDescent="0.25">
      <c r="A42" s="387" t="s">
        <v>67</v>
      </c>
      <c r="B42" s="388"/>
      <c r="C42" s="388"/>
      <c r="D42" s="389"/>
      <c r="G42" s="101"/>
      <c r="H42" s="97"/>
      <c r="I42" s="101"/>
      <c r="J42" s="101"/>
      <c r="K42" s="101"/>
      <c r="L42" s="101"/>
      <c r="M42" s="101"/>
      <c r="N42" s="101"/>
      <c r="O42" s="101"/>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row>
    <row r="43" spans="1:48" s="107" customFormat="1" ht="38.25" customHeight="1" x14ac:dyDescent="0.2">
      <c r="A43" s="390" t="s">
        <v>93</v>
      </c>
      <c r="B43" s="353"/>
      <c r="C43" s="353"/>
      <c r="D43" s="391"/>
      <c r="E43" s="7"/>
      <c r="F43" s="7"/>
      <c r="G43" s="7"/>
      <c r="H43" s="7"/>
      <c r="I43" s="7"/>
      <c r="J43" s="7"/>
      <c r="K43" s="7"/>
      <c r="L43" s="7"/>
      <c r="M43" s="7"/>
      <c r="N43" s="7"/>
      <c r="O43" s="7"/>
      <c r="P43" s="7"/>
      <c r="Q43" s="7"/>
      <c r="R43" s="7"/>
      <c r="S43" s="7"/>
      <c r="T43" s="7"/>
      <c r="U43" s="7"/>
      <c r="V43" s="7"/>
      <c r="W43" s="7"/>
      <c r="X43" s="7"/>
      <c r="Y43" s="7"/>
    </row>
    <row r="44" spans="1:48" s="99" customFormat="1" ht="12.75" customHeight="1" x14ac:dyDescent="0.25">
      <c r="A44" s="390" t="s">
        <v>89</v>
      </c>
      <c r="B44" s="353"/>
      <c r="C44" s="353"/>
      <c r="D44" s="391"/>
      <c r="G44" s="101"/>
      <c r="H44" s="97"/>
      <c r="I44" s="101"/>
      <c r="J44" s="101"/>
      <c r="K44" s="101"/>
      <c r="L44" s="101"/>
      <c r="M44" s="101"/>
      <c r="N44" s="101"/>
      <c r="O44" s="101"/>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row>
    <row r="45" spans="1:48" s="99" customFormat="1" ht="12.75" customHeight="1" x14ac:dyDescent="0.25">
      <c r="A45" s="395" t="s">
        <v>133</v>
      </c>
      <c r="B45" s="396"/>
      <c r="C45" s="396"/>
      <c r="D45" s="397"/>
      <c r="G45" s="101"/>
      <c r="H45" s="97"/>
      <c r="I45" s="101"/>
      <c r="J45" s="101"/>
      <c r="K45" s="101"/>
      <c r="L45" s="101"/>
      <c r="M45" s="101"/>
      <c r="N45" s="101"/>
      <c r="O45" s="101"/>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row>
    <row r="46" spans="1:48" s="99" customFormat="1" ht="15" x14ac:dyDescent="0.25">
      <c r="G46" s="101"/>
      <c r="I46" s="101"/>
      <c r="J46" s="101"/>
      <c r="K46" s="101"/>
      <c r="L46" s="101"/>
      <c r="M46" s="101"/>
      <c r="N46" s="101"/>
      <c r="O46" s="101"/>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row>
    <row r="47" spans="1:48" s="99" customFormat="1" ht="15" x14ac:dyDescent="0.25">
      <c r="G47" s="101"/>
      <c r="I47" s="101"/>
      <c r="J47" s="101"/>
      <c r="K47" s="101"/>
      <c r="L47" s="101"/>
      <c r="M47" s="101"/>
      <c r="N47" s="101"/>
      <c r="O47" s="101"/>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row>
    <row r="48" spans="1:48" ht="33" customHeight="1" x14ac:dyDescent="0.2">
      <c r="A48" s="383" t="s">
        <v>94</v>
      </c>
      <c r="B48" s="383"/>
      <c r="C48" s="383"/>
      <c r="D48" s="383"/>
      <c r="E48" s="383"/>
      <c r="F48" s="383"/>
      <c r="G48" s="383"/>
      <c r="H48" s="383"/>
      <c r="I48" s="383"/>
      <c r="J48" s="21"/>
      <c r="K48" s="21"/>
    </row>
    <row r="49" spans="1:48" ht="12.75" customHeight="1" thickBot="1" x14ac:dyDescent="0.25">
      <c r="A49" s="108"/>
      <c r="B49" s="108"/>
      <c r="C49" s="108"/>
      <c r="D49" s="108"/>
      <c r="E49" s="19"/>
      <c r="F49" s="19"/>
      <c r="G49" s="106"/>
      <c r="H49" s="19"/>
      <c r="J49" s="21"/>
      <c r="K49" s="21"/>
      <c r="M49" s="106" t="s">
        <v>3</v>
      </c>
    </row>
    <row r="50" spans="1:48" ht="13.5" thickBot="1" x14ac:dyDescent="0.25">
      <c r="A50" s="45"/>
      <c r="B50" s="384">
        <v>2020</v>
      </c>
      <c r="C50" s="385"/>
      <c r="D50" s="385"/>
      <c r="E50" s="386"/>
      <c r="F50" s="384" t="s">
        <v>46</v>
      </c>
      <c r="G50" s="385"/>
      <c r="H50" s="385"/>
      <c r="I50" s="386"/>
      <c r="J50" s="384" t="s">
        <v>126</v>
      </c>
      <c r="K50" s="385"/>
      <c r="L50" s="385"/>
      <c r="M50" s="386"/>
    </row>
    <row r="51" spans="1:48" ht="51.75" thickBot="1" x14ac:dyDescent="0.25">
      <c r="A51" s="46"/>
      <c r="B51" s="130" t="s">
        <v>76</v>
      </c>
      <c r="C51" s="110" t="s">
        <v>77</v>
      </c>
      <c r="D51" s="112" t="s">
        <v>78</v>
      </c>
      <c r="E51" s="111" t="s">
        <v>83</v>
      </c>
      <c r="F51" s="130" t="s">
        <v>76</v>
      </c>
      <c r="G51" s="110" t="s">
        <v>77</v>
      </c>
      <c r="H51" s="112" t="s">
        <v>78</v>
      </c>
      <c r="I51" s="111" t="s">
        <v>83</v>
      </c>
      <c r="J51" s="130" t="s">
        <v>76</v>
      </c>
      <c r="K51" s="110" t="s">
        <v>77</v>
      </c>
      <c r="L51" s="112" t="s">
        <v>78</v>
      </c>
      <c r="M51" s="111" t="s">
        <v>83</v>
      </c>
    </row>
    <row r="52" spans="1:48" x14ac:dyDescent="0.2">
      <c r="A52" s="195" t="s">
        <v>8</v>
      </c>
      <c r="B52" s="307">
        <f>VLOOKUP(A2,calculs_2020_2021_2022!A4:EN22,15,FALSE )</f>
        <v>4.3712313266686724</v>
      </c>
      <c r="C52" s="307">
        <f>VLOOKUP(A2,calculs_2020_2021_2022!A4:EN22,16,FALSE )</f>
        <v>2.7136267650096397</v>
      </c>
      <c r="D52" s="307">
        <f>VLOOKUP(A2,calculs_2020_2021_2022!A4:EN22,17,FALSE )</f>
        <v>3.4096063870250695</v>
      </c>
      <c r="E52" s="347">
        <f>VLOOKUP(A2,calculs_2020_2021_2022!A4:EN22,18,FALSE )</f>
        <v>78.001051242088806</v>
      </c>
      <c r="F52" s="307">
        <f>VLOOKUP(A2,calculs_2020_2021_2022!A29:EN47,15,FALSE )</f>
        <v>4.3755423511743352</v>
      </c>
      <c r="G52" s="308">
        <f>VLOOKUP(A2,calculs_2020_2021_2022!A29:EN47,16,FALSE )</f>
        <v>3.0269341805719456</v>
      </c>
      <c r="H52" s="308">
        <f>VLOOKUP(A2,calculs_2020_2021_2022!A29:EN47,17,FALSE )</f>
        <v>3.829851923897106</v>
      </c>
      <c r="I52" s="309">
        <f>VLOOKUP(A2,calculs_2020_2021_2022!A29:EN47,18,FALSE )</f>
        <v>87.528621974581654</v>
      </c>
      <c r="J52" s="307">
        <f>VLOOKUP(A2,calculs_2020_2021_2022!A54:EN72,15,FALSE )</f>
        <v>4.3728823735262008</v>
      </c>
      <c r="K52" s="308">
        <f>VLOOKUP(A2,calculs_2020_2021_2022!A54:EN72,16,FALSE )</f>
        <v>3.0800331693372938</v>
      </c>
      <c r="L52" s="308">
        <f>VLOOKUP(A2,calculs_2020_2021_2022!A54:EN72,17,FALSE )</f>
        <v>3.9023387928070918</v>
      </c>
      <c r="M52" s="309">
        <f>VLOOKUP(A2,calculs_2020_2021_2022!A54:EN72,18,FALSE )</f>
        <v>89.239509766651409</v>
      </c>
    </row>
    <row r="53" spans="1:48" x14ac:dyDescent="0.2">
      <c r="A53" s="196" t="s">
        <v>9</v>
      </c>
      <c r="B53" s="310">
        <f>VLOOKUP(A2,calculs_2020_2021_2022!A4:EN22,19,FALSE )</f>
        <v>5.324336091291392</v>
      </c>
      <c r="C53" s="311">
        <f>VLOOKUP(A2,calculs_2020_2021_2022!A4:EN22,20,FALSE )</f>
        <v>3.195466570550217</v>
      </c>
      <c r="D53" s="311">
        <f>VLOOKUP(A2,calculs_2020_2021_2022!A4:EN22,21,FALSE )</f>
        <v>4.0717053550447693</v>
      </c>
      <c r="E53" s="312">
        <f>VLOOKUP(A2,calculs_2020_2021_2022!A4:EN22,22,FALSE )</f>
        <v>76.473484867053088</v>
      </c>
      <c r="F53" s="310">
        <f>VLOOKUP(A2,calculs_2020_2021_2022!A29:EN47,19,FALSE )</f>
        <v>5.3344291985327956</v>
      </c>
      <c r="G53" s="311">
        <f>VLOOKUP(A2,calculs_2020_2021_2022!A29:EN47,20,FALSE )</f>
        <v>3.4257806279230376</v>
      </c>
      <c r="H53" s="311">
        <f>VLOOKUP(A2,calculs_2020_2021_2022!A29:EN47,21,FALSE )</f>
        <v>4.3660262691325489</v>
      </c>
      <c r="I53" s="312">
        <f>VLOOKUP(A2,calculs_2020_2021_2022!A29:EN47,22,FALSE )</f>
        <v>81.846175225896687</v>
      </c>
      <c r="J53" s="310">
        <f>VLOOKUP(A2,calculs_2020_2021_2022!A54:EN72,19,FALSE )</f>
        <v>5.3252411310802454</v>
      </c>
      <c r="K53" s="311">
        <f>VLOOKUP(A2,calculs_2020_2021_2022!A54:EN72,20,FALSE )</f>
        <v>3.4644153545250163</v>
      </c>
      <c r="L53" s="311">
        <f>VLOOKUP(A2,calculs_2020_2021_2022!A54:EN72,21,FALSE )</f>
        <v>4.4264802249232513</v>
      </c>
      <c r="M53" s="312">
        <f>VLOOKUP(A2,calculs_2020_2021_2022!A54:EN72,22,FALSE )</f>
        <v>83.122625172567979</v>
      </c>
    </row>
    <row r="54" spans="1:48" x14ac:dyDescent="0.2">
      <c r="A54" s="197" t="s">
        <v>42</v>
      </c>
      <c r="B54" s="310">
        <f>VLOOKUP(A2,calculs_2020_2021_2022!A4:EN22,23,FALSE )</f>
        <v>5.6834977953074901</v>
      </c>
      <c r="C54" s="311">
        <f>VLOOKUP(A2,calculs_2020_2021_2022!A4:EN22,24,FALSE )</f>
        <v>3.3876558588123955</v>
      </c>
      <c r="D54" s="311">
        <f>VLOOKUP(A2,calculs_2020_2021_2022!A4:EN22,25,FALSE )</f>
        <v>4.3482493187469773</v>
      </c>
      <c r="E54" s="312">
        <f>VLOOKUP(A2,calculs_2020_2021_2022!A4:EN22,26,FALSE )</f>
        <v>76.506571751238383</v>
      </c>
      <c r="F54" s="310">
        <f>VLOOKUP(A2,calculs_2020_2021_2022!A29:EN47,23,FALSE )</f>
        <v>5.6826282801968802</v>
      </c>
      <c r="G54" s="311">
        <f>VLOOKUP(A2,calculs_2020_2021_2022!A29:EN47,24,FALSE )</f>
        <v>3.3920381732626148</v>
      </c>
      <c r="H54" s="311">
        <f>VLOOKUP(A2,calculs_2020_2021_2022!A29:EN47,25,FALSE )</f>
        <v>4.3663717763534979</v>
      </c>
      <c r="I54" s="312">
        <f>VLOOKUP(A2,calculs_2020_2021_2022!A29:EN47,26,FALSE )</f>
        <v>76.837188023887791</v>
      </c>
      <c r="J54" s="310">
        <f>VLOOKUP(A2,calculs_2020_2021_2022!A54:EN72,23,FALSE )</f>
        <v>5.6864709150624622</v>
      </c>
      <c r="K54" s="311">
        <f>VLOOKUP(A2,calculs_2020_2021_2022!A54:EN72,24,FALSE )</f>
        <v>3.502704303959201</v>
      </c>
      <c r="L54" s="311">
        <f>VLOOKUP(A2,calculs_2020_2021_2022!A54:EN72,25,FALSE )</f>
        <v>4.5250491652383387</v>
      </c>
      <c r="M54" s="312">
        <f>VLOOKUP(A2,calculs_2020_2021_2022!A54:EN72,26,FALSE )</f>
        <v>79.575702273483515</v>
      </c>
    </row>
    <row r="55" spans="1:48" x14ac:dyDescent="0.2">
      <c r="A55" s="197" t="s">
        <v>41</v>
      </c>
      <c r="B55" s="310">
        <f>VLOOKUP(A2,calculs_2020_2021_2022!A4:EN22,27,FALSE )</f>
        <v>5.8546538778198727</v>
      </c>
      <c r="C55" s="311">
        <f>VLOOKUP(A2,calculs_2020_2021_2022!A4:EN22,28,FALSE )</f>
        <v>3.5699671778186866</v>
      </c>
      <c r="D55" s="311">
        <f>VLOOKUP(A2,calculs_2020_2021_2022!A4:EN22,29,FALSE )</f>
        <v>4.5596336846639556</v>
      </c>
      <c r="E55" s="312">
        <f>VLOOKUP(A2,calculs_2020_2021_2022!A4:EN22,30,FALSE )</f>
        <v>77.880499510619231</v>
      </c>
      <c r="F55" s="310">
        <f>VLOOKUP(A2,calculs_2020_2021_2022!A29:EN47,27,FALSE )</f>
        <v>5.862800336175833</v>
      </c>
      <c r="G55" s="311">
        <f>VLOOKUP(A2,calculs_2020_2021_2022!A29:EN47,28,FALSE )</f>
        <v>3.6073888445759135</v>
      </c>
      <c r="H55" s="311">
        <f>VLOOKUP(A2,calculs_2020_2021_2022!A29:EN47,29,FALSE )</f>
        <v>4.6432223846432228</v>
      </c>
      <c r="I55" s="312">
        <f>VLOOKUP(A2,calculs_2020_2021_2022!A29:EN47,30,FALSE )</f>
        <v>79.198030265378051</v>
      </c>
      <c r="J55" s="310">
        <f>VLOOKUP(A2,calculs_2020_2021_2022!A54:EN72,27,FALSE )</f>
        <v>5.861369730536107</v>
      </c>
      <c r="K55" s="311">
        <f>VLOOKUP(A2,calculs_2020_2021_2022!A54:EN72,28,FALSE )</f>
        <v>3.659675813573148</v>
      </c>
      <c r="L55" s="311">
        <f>VLOOKUP(A2,calculs_2020_2021_2022!A54:EN72,29,FALSE )</f>
        <v>4.7303168589421265</v>
      </c>
      <c r="M55" s="312">
        <f>VLOOKUP(A2,calculs_2020_2021_2022!A54:EN72,30,FALSE )</f>
        <v>80.703266922379768</v>
      </c>
    </row>
    <row r="56" spans="1:48" ht="13.5" thickBot="1" x14ac:dyDescent="0.25">
      <c r="A56" s="196" t="s">
        <v>7</v>
      </c>
      <c r="B56" s="310">
        <f>VLOOKUP(A2,calculs_2020_2021_2022!A4:EN22,31,FALSE )</f>
        <v>5.9638787450247053</v>
      </c>
      <c r="C56" s="311">
        <f>VLOOKUP(A2,calculs_2020_2021_2022!A4:EN22,32,FALSE )</f>
        <v>4.1796587547412818</v>
      </c>
      <c r="D56" s="311">
        <f>VLOOKUP(A2,calculs_2020_2021_2022!A4:EN22,33,FALSE )</f>
        <v>5.3739387684202962</v>
      </c>
      <c r="E56" s="312">
        <f>VLOOKUP(A2,calculs_2020_2021_2022!A4:EN22,34,FALSE )</f>
        <v>90.108115844968182</v>
      </c>
      <c r="F56" s="310">
        <f>VLOOKUP(A2,calculs_2020_2021_2022!A29:EN47,31,FALSE )</f>
        <v>5.9629126582685039</v>
      </c>
      <c r="G56" s="311">
        <f>VLOOKUP(A2,calculs_2020_2021_2022!A29:EN47,32,FALSE )</f>
        <v>4.3668486871964829</v>
      </c>
      <c r="H56" s="311">
        <f>VLOOKUP(A2,calculs_2020_2021_2022!A29:EN47,33,FALSE )</f>
        <v>5.6016770086231435</v>
      </c>
      <c r="I56" s="312">
        <f>VLOOKUP(A2,calculs_2020_2021_2022!A29:EN47,34,FALSE )</f>
        <v>93.941959737671965</v>
      </c>
      <c r="J56" s="310">
        <f>VLOOKUP(A2,calculs_2020_2021_2022!A54:EN72,31,FALSE )</f>
        <v>5.9619703701144093</v>
      </c>
      <c r="K56" s="311">
        <f>VLOOKUP(A2,calculs_2020_2021_2022!A54:EN72,32,FALSE )</f>
        <v>4.1388580401497963</v>
      </c>
      <c r="L56" s="311">
        <f>VLOOKUP(A2,calculs_2020_2021_2022!A54:EN72,33,FALSE )</f>
        <v>5.371181268962423</v>
      </c>
      <c r="M56" s="312">
        <f>VLOOKUP(A2,calculs_2020_2021_2022!A54:EN72,34,FALSE )</f>
        <v>90.090707191142101</v>
      </c>
    </row>
    <row r="57" spans="1:48" ht="13.5" thickBot="1" x14ac:dyDescent="0.25">
      <c r="A57" s="137" t="s">
        <v>84</v>
      </c>
      <c r="B57" s="313">
        <f>$B$8</f>
        <v>5.5</v>
      </c>
      <c r="C57" s="314">
        <f>$B$20</f>
        <v>3.5</v>
      </c>
      <c r="D57" s="314">
        <f>$B$22</f>
        <v>4.5</v>
      </c>
      <c r="E57" s="315">
        <f>$B$34</f>
        <v>81.953749814349436</v>
      </c>
      <c r="F57" s="313">
        <f>$C$8</f>
        <v>5.5</v>
      </c>
      <c r="G57" s="314">
        <f>$C$20</f>
        <v>3.7</v>
      </c>
      <c r="H57" s="314">
        <f>$C$22</f>
        <v>4.7</v>
      </c>
      <c r="I57" s="315">
        <f>$C$34</f>
        <v>85.980190534527665</v>
      </c>
      <c r="J57" s="313">
        <f>$D$8</f>
        <v>5.5</v>
      </c>
      <c r="K57" s="314">
        <f>$D$20</f>
        <v>3.6</v>
      </c>
      <c r="L57" s="314">
        <f>$D$22</f>
        <v>4.7</v>
      </c>
      <c r="M57" s="315">
        <f>$D$34</f>
        <v>85.726446031234261</v>
      </c>
    </row>
    <row r="58" spans="1:48" s="99" customFormat="1" ht="12.75" customHeight="1" x14ac:dyDescent="0.25">
      <c r="A58" s="387" t="s">
        <v>67</v>
      </c>
      <c r="B58" s="388"/>
      <c r="C58" s="388"/>
      <c r="D58" s="388"/>
      <c r="E58" s="388"/>
      <c r="F58" s="388"/>
      <c r="G58" s="388"/>
      <c r="H58" s="388"/>
      <c r="I58" s="388"/>
      <c r="J58" s="388"/>
      <c r="K58" s="388"/>
      <c r="L58" s="388"/>
      <c r="M58" s="389"/>
      <c r="N58" s="101"/>
      <c r="O58" s="101"/>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row>
    <row r="59" spans="1:48" s="107" customFormat="1" ht="25.5" customHeight="1" x14ac:dyDescent="0.2">
      <c r="A59" s="390" t="s">
        <v>93</v>
      </c>
      <c r="B59" s="353"/>
      <c r="C59" s="353"/>
      <c r="D59" s="353"/>
      <c r="E59" s="353"/>
      <c r="F59" s="353"/>
      <c r="G59" s="353"/>
      <c r="H59" s="353"/>
      <c r="I59" s="353"/>
      <c r="J59" s="353"/>
      <c r="K59" s="353"/>
      <c r="L59" s="353"/>
      <c r="M59" s="391"/>
      <c r="N59" s="7"/>
      <c r="O59" s="7"/>
      <c r="P59" s="7"/>
      <c r="Q59" s="7"/>
      <c r="R59" s="7"/>
      <c r="S59" s="7"/>
      <c r="T59" s="7"/>
      <c r="U59" s="7"/>
      <c r="V59" s="7"/>
      <c r="W59" s="7"/>
      <c r="X59" s="7"/>
      <c r="Y59" s="7"/>
    </row>
    <row r="60" spans="1:48" s="99" customFormat="1" ht="12.75" customHeight="1" x14ac:dyDescent="0.25">
      <c r="A60" s="390" t="s">
        <v>89</v>
      </c>
      <c r="B60" s="353"/>
      <c r="C60" s="353"/>
      <c r="D60" s="353"/>
      <c r="E60" s="353"/>
      <c r="F60" s="353"/>
      <c r="G60" s="353"/>
      <c r="H60" s="353"/>
      <c r="I60" s="353"/>
      <c r="J60" s="353"/>
      <c r="K60" s="353"/>
      <c r="L60" s="353"/>
      <c r="M60" s="391"/>
      <c r="N60" s="101"/>
      <c r="O60" s="101"/>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row>
    <row r="61" spans="1:48" s="99" customFormat="1" ht="12.75" customHeight="1" x14ac:dyDescent="0.25">
      <c r="A61" s="392" t="s">
        <v>133</v>
      </c>
      <c r="B61" s="393"/>
      <c r="C61" s="393"/>
      <c r="D61" s="393"/>
      <c r="E61" s="393"/>
      <c r="F61" s="393"/>
      <c r="G61" s="393"/>
      <c r="H61" s="393"/>
      <c r="I61" s="393"/>
      <c r="J61" s="393"/>
      <c r="K61" s="393"/>
      <c r="L61" s="393"/>
      <c r="M61" s="394"/>
      <c r="N61" s="101"/>
      <c r="O61" s="101"/>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row>
    <row r="62" spans="1:48" x14ac:dyDescent="0.2">
      <c r="A62" s="21"/>
      <c r="B62" s="21"/>
      <c r="C62" s="21"/>
      <c r="D62" s="21"/>
      <c r="E62" s="21"/>
      <c r="F62" s="21"/>
      <c r="G62" s="21"/>
      <c r="H62" s="21"/>
      <c r="I62" s="21"/>
      <c r="J62" s="21"/>
      <c r="K62" s="21"/>
    </row>
    <row r="63" spans="1:48" x14ac:dyDescent="0.2">
      <c r="A63" s="21"/>
      <c r="B63" s="21"/>
      <c r="C63" s="44"/>
      <c r="D63" s="21"/>
      <c r="E63" s="21"/>
      <c r="F63" s="21"/>
      <c r="G63" s="21"/>
      <c r="H63" s="21"/>
      <c r="I63" s="21"/>
      <c r="J63" s="21"/>
      <c r="K63" s="21"/>
    </row>
    <row r="64" spans="1:48" ht="33" customHeight="1" x14ac:dyDescent="0.2">
      <c r="A64" s="383" t="s">
        <v>95</v>
      </c>
      <c r="B64" s="383"/>
      <c r="C64" s="383"/>
      <c r="D64" s="383"/>
      <c r="E64" s="383"/>
      <c r="F64" s="383"/>
      <c r="G64" s="383"/>
      <c r="H64" s="383"/>
      <c r="I64" s="383"/>
      <c r="J64" s="21"/>
      <c r="K64" s="21"/>
    </row>
    <row r="65" spans="1:48" ht="12.75" customHeight="1" thickBot="1" x14ac:dyDescent="0.25">
      <c r="A65" s="108"/>
      <c r="B65" s="108"/>
      <c r="C65" s="108"/>
      <c r="D65" s="108"/>
      <c r="E65" s="19"/>
      <c r="F65" s="19"/>
      <c r="G65" s="106"/>
      <c r="H65" s="19"/>
      <c r="J65" s="21"/>
      <c r="K65" s="21"/>
      <c r="M65" s="106" t="s">
        <v>3</v>
      </c>
    </row>
    <row r="66" spans="1:48" ht="13.5" thickBot="1" x14ac:dyDescent="0.25">
      <c r="A66" s="45"/>
      <c r="B66" s="384">
        <v>2020</v>
      </c>
      <c r="C66" s="385"/>
      <c r="D66" s="385"/>
      <c r="E66" s="386"/>
      <c r="F66" s="384" t="s">
        <v>46</v>
      </c>
      <c r="G66" s="385"/>
      <c r="H66" s="385"/>
      <c r="I66" s="386"/>
      <c r="J66" s="384" t="s">
        <v>126</v>
      </c>
      <c r="K66" s="385"/>
      <c r="L66" s="385"/>
      <c r="M66" s="386"/>
    </row>
    <row r="67" spans="1:48" ht="51.75" thickBot="1" x14ac:dyDescent="0.25">
      <c r="A67" s="46"/>
      <c r="B67" s="130" t="s">
        <v>76</v>
      </c>
      <c r="C67" s="110" t="s">
        <v>77</v>
      </c>
      <c r="D67" s="112" t="s">
        <v>78</v>
      </c>
      <c r="E67" s="111" t="s">
        <v>83</v>
      </c>
      <c r="F67" s="130" t="s">
        <v>76</v>
      </c>
      <c r="G67" s="110" t="s">
        <v>77</v>
      </c>
      <c r="H67" s="112" t="s">
        <v>78</v>
      </c>
      <c r="I67" s="111" t="s">
        <v>83</v>
      </c>
      <c r="J67" s="130" t="s">
        <v>76</v>
      </c>
      <c r="K67" s="110" t="s">
        <v>77</v>
      </c>
      <c r="L67" s="112" t="s">
        <v>78</v>
      </c>
      <c r="M67" s="111" t="s">
        <v>83</v>
      </c>
    </row>
    <row r="68" spans="1:48" x14ac:dyDescent="0.2">
      <c r="A68" s="38" t="s">
        <v>39</v>
      </c>
      <c r="B68" s="307">
        <f>VLOOKUP(A2,calculs_2020_2021_2022!A4:EN22,35,FALSE )</f>
        <v>5.4993622780801372</v>
      </c>
      <c r="C68" s="308">
        <f>VLOOKUP(A2,calculs_2020_2021_2022!A4:EN22,36,FALSE )</f>
        <v>3.9141493049225908</v>
      </c>
      <c r="D68" s="308">
        <f>VLOOKUP(A2,calculs_2020_2021_2022!A4:EN22,37,FALSE )</f>
        <v>5.1079866495822444</v>
      </c>
      <c r="E68" s="309">
        <f>VLOOKUP(A2,calculs_2020_2021_2022!A4:EN22,38,FALSE )</f>
        <v>92.883254299178034</v>
      </c>
      <c r="F68" s="307">
        <f>VLOOKUP(A2,calculs_2020_2021_2022!A29:EN47,35,FALSE )</f>
        <v>5.5059221254206578</v>
      </c>
      <c r="G68" s="308">
        <f>VLOOKUP(A2,calculs_2020_2021_2022!A29:EN47,36,FALSE )</f>
        <v>4.0056077380249544</v>
      </c>
      <c r="H68" s="308">
        <f>VLOOKUP(A2,calculs_2020_2021_2022!A29:EN47,37,FALSE )</f>
        <v>5.2588399307017424</v>
      </c>
      <c r="I68" s="309">
        <f>VLOOKUP(A2,calculs_2020_2021_2022!A29:EN47,38,FALSE )</f>
        <v>95.512428452662917</v>
      </c>
      <c r="J68" s="307">
        <f>VLOOKUP(A2,calculs_2020_2021_2022!A54:EN72,35,FALSE )</f>
        <v>5.504007108059886</v>
      </c>
      <c r="K68" s="308">
        <f>VLOOKUP(A2,calculs_2020_2021_2022!A54:EN72,36,FALSE )</f>
        <v>4.053763516170938</v>
      </c>
      <c r="L68" s="308">
        <f>VLOOKUP(A2,calculs_2020_2021_2022!A54:EN72,37,FALSE )</f>
        <v>5.3355846999019141</v>
      </c>
      <c r="M68" s="309">
        <f>VLOOKUP(A2,calculs_2020_2021_2022!A54:EN72,38,FALSE )</f>
        <v>96.940003803568146</v>
      </c>
    </row>
    <row r="69" spans="1:48" x14ac:dyDescent="0.2">
      <c r="A69" s="39" t="s">
        <v>4</v>
      </c>
      <c r="B69" s="310">
        <f>VLOOKUP(A2,calculs_2020_2021_2022!A4:EN22,39,FALSE )</f>
        <v>5.2299722704647564</v>
      </c>
      <c r="C69" s="311">
        <f>VLOOKUP(A2,calculs_2020_2021_2022!A4:EN22,40,FALSE )</f>
        <v>2.8220050041090636</v>
      </c>
      <c r="D69" s="311">
        <f>VLOOKUP(A2,calculs_2020_2021_2022!A4:EN22,41,FALSE )</f>
        <v>3.6519059757826393</v>
      </c>
      <c r="E69" s="312">
        <f>VLOOKUP(A2,calculs_2020_2021_2022!A4:EN22,42,FALSE )</f>
        <v>69.82648830484365</v>
      </c>
      <c r="F69" s="310">
        <f>VLOOKUP(A2,calculs_2020_2021_2022!A29:EN47,39,FALSE )</f>
        <v>5.1815697696102792</v>
      </c>
      <c r="G69" s="311">
        <f>VLOOKUP(A2,calculs_2020_2021_2022!A29:EN47,40,FALSE )</f>
        <v>2.8476009599386702</v>
      </c>
      <c r="H69" s="311">
        <f>VLOOKUP(A2,calculs_2020_2021_2022!A29:EN47,41,FALSE )</f>
        <v>3.6931582482537459</v>
      </c>
      <c r="I69" s="312">
        <f>VLOOKUP(A2,calculs_2020_2021_2022!A29:EN47,42,FALSE )</f>
        <v>71.274891827453274</v>
      </c>
      <c r="J69" s="310">
        <f>VLOOKUP(A2,calculs_2020_2021_2022!A54:EN72,39,FALSE )</f>
        <v>5.1939466340951448</v>
      </c>
      <c r="K69" s="311">
        <f>VLOOKUP(A2,calculs_2020_2021_2022!A54:EN72,40,FALSE )</f>
        <v>2.80189110165596</v>
      </c>
      <c r="L69" s="311">
        <f>VLOOKUP(A2,calculs_2020_2021_2022!A54:EN72,41,FALSE )</f>
        <v>3.6241581166927945</v>
      </c>
      <c r="M69" s="312">
        <f>VLOOKUP(A2,calculs_2020_2021_2022!A54:EN72,42,FALSE )</f>
        <v>69.776575925951363</v>
      </c>
    </row>
    <row r="70" spans="1:48" x14ac:dyDescent="0.2">
      <c r="A70" s="39" t="s">
        <v>44</v>
      </c>
      <c r="B70" s="310">
        <f>VLOOKUP(A2,calculs_2020_2021_2022!A4:EN22,43,FALSE )</f>
        <v>5.4328637386360574</v>
      </c>
      <c r="C70" s="311">
        <f>VLOOKUP(A2,calculs_2020_2021_2022!A4:EN22,44,FALSE )</f>
        <v>3.172618454406257</v>
      </c>
      <c r="D70" s="311">
        <f>VLOOKUP(A2,calculs_2020_2021_2022!A4:EN22,45,FALSE )</f>
        <v>4.0420364209866175</v>
      </c>
      <c r="E70" s="312">
        <f>VLOOKUP(A2,calculs_2020_2021_2022!A4:EN22,46,FALSE )</f>
        <v>74.399738617434707</v>
      </c>
      <c r="F70" s="310">
        <f>VLOOKUP(A2,calculs_2020_2021_2022!A29:EN47,43,FALSE )</f>
        <v>5.4322389642595619</v>
      </c>
      <c r="G70" s="311">
        <f>VLOOKUP(A2,calculs_2020_2021_2022!A29:EN47,44,FALSE )</f>
        <v>3.3838423182902702</v>
      </c>
      <c r="H70" s="311">
        <f>VLOOKUP(A2,calculs_2020_2021_2022!A29:EN47,45,FALSE )</f>
        <v>4.3276458739500079</v>
      </c>
      <c r="I70" s="312">
        <f>VLOOKUP(A2,calculs_2020_2021_2022!A29:EN47,46,FALSE )</f>
        <v>79.665970190615226</v>
      </c>
      <c r="J70" s="310">
        <f>VLOOKUP(A2,calculs_2020_2021_2022!A54:EN72,43,FALSE )</f>
        <v>5.4177814401655571</v>
      </c>
      <c r="K70" s="311">
        <f>VLOOKUP(A2,calculs_2020_2021_2022!A54:EN72,44,FALSE )</f>
        <v>3.3987414927120985</v>
      </c>
      <c r="L70" s="311">
        <f>VLOOKUP(A2,calculs_2020_2021_2022!A54:EN72,45,FALSE )</f>
        <v>4.3629966419761628</v>
      </c>
      <c r="M70" s="312">
        <f>VLOOKUP(A2,calculs_2020_2021_2022!A54:EN72,46,FALSE )</f>
        <v>80.531056672578458</v>
      </c>
    </row>
    <row r="71" spans="1:48" x14ac:dyDescent="0.2">
      <c r="A71" s="39" t="s">
        <v>5</v>
      </c>
      <c r="B71" s="310">
        <f>VLOOKUP(A2,calculs_2020_2021_2022!A4:EN22,47,FALSE )</f>
        <v>5.5179838359352011</v>
      </c>
      <c r="C71" s="311">
        <f>VLOOKUP(A2,calculs_2020_2021_2022!A4:EN22,48,FALSE )</f>
        <v>1.8799862231624169</v>
      </c>
      <c r="D71" s="311">
        <f>VLOOKUP(A2,calculs_2020_2021_2022!A4:EN22,49,FALSE )</f>
        <v>2.2474685163036785</v>
      </c>
      <c r="E71" s="312">
        <f>VLOOKUP(A2,calculs_2020_2021_2022!A4:EN22,50,FALSE )</f>
        <v>40.729885826546138</v>
      </c>
      <c r="F71" s="310">
        <f>VLOOKUP(A2,calculs_2020_2021_2022!A29:EN47,47,FALSE )</f>
        <v>5.5264401093099949</v>
      </c>
      <c r="G71" s="311">
        <f>VLOOKUP(A2,calculs_2020_2021_2022!A29:EN47,48,FALSE )</f>
        <v>2.1285721806009952</v>
      </c>
      <c r="H71" s="311">
        <f>VLOOKUP(A2,calculs_2020_2021_2022!A29:EN47,49,FALSE )</f>
        <v>2.5190916611128689</v>
      </c>
      <c r="I71" s="312">
        <f>VLOOKUP(A2,calculs_2020_2021_2022!A29:EN47,50,FALSE )</f>
        <v>45.582537968142219</v>
      </c>
      <c r="J71" s="310">
        <f>VLOOKUP(A2,calculs_2020_2021_2022!A54:EN72,47,FALSE )</f>
        <v>5.519480559576289</v>
      </c>
      <c r="K71" s="311">
        <f>VLOOKUP(A2,calculs_2020_2021_2022!A54:EN72,48,FALSE )</f>
        <v>2.1838377585452839</v>
      </c>
      <c r="L71" s="311">
        <f>VLOOKUP(A2,calculs_2020_2021_2022!A54:EN72,49,FALSE )</f>
        <v>2.6154938044038047</v>
      </c>
      <c r="M71" s="312">
        <f>VLOOKUP(A2,calculs_2020_2021_2022!A54:EN72,50,FALSE )</f>
        <v>47.386593288492115</v>
      </c>
    </row>
    <row r="72" spans="1:48" x14ac:dyDescent="0.2">
      <c r="A72" s="39" t="s">
        <v>37</v>
      </c>
      <c r="B72" s="310">
        <f>VLOOKUP(A2,calculs_2020_2021_2022!A4:EN22,51,FALSE )</f>
        <v>5.74329833390592</v>
      </c>
      <c r="C72" s="311">
        <f>VLOOKUP(A2,calculs_2020_2021_2022!A4:EN22,52,FALSE )</f>
        <v>3.9551246609489028</v>
      </c>
      <c r="D72" s="311">
        <f>VLOOKUP(A2,calculs_2020_2021_2022!A4:EN22,53,FALSE )</f>
        <v>5.024013493372764</v>
      </c>
      <c r="E72" s="312">
        <f>VLOOKUP(A2,calculs_2020_2021_2022!A4:EN22,54,FALSE )</f>
        <v>87.476101732573909</v>
      </c>
      <c r="F72" s="310">
        <f>VLOOKUP(A2,calculs_2020_2021_2022!A29:EN47,51,FALSE )</f>
        <v>5.7650666502912866</v>
      </c>
      <c r="G72" s="311">
        <f>VLOOKUP(A2,calculs_2020_2021_2022!A29:EN47,52,FALSE )</f>
        <v>4.9255879450824205</v>
      </c>
      <c r="H72" s="311">
        <f>VLOOKUP(A2,calculs_2020_2021_2022!A29:EN47,53,FALSE )</f>
        <v>6.0236014846343053</v>
      </c>
      <c r="I72" s="312">
        <f>VLOOKUP(A2,calculs_2020_2021_2022!A29:EN47,54,FALSE )</f>
        <v>104.48450729238242</v>
      </c>
      <c r="J72" s="310">
        <f>VLOOKUP(A2,calculs_2020_2021_2022!A54:EN72,51,FALSE )</f>
        <v>5.7364425254004905</v>
      </c>
      <c r="K72" s="311">
        <f>VLOOKUP(A2,calculs_2020_2021_2022!A54:EN72,52,FALSE )</f>
        <v>3.9261708463282092</v>
      </c>
      <c r="L72" s="311">
        <f>VLOOKUP(A2,calculs_2020_2021_2022!A54:EN72,53,FALSE )</f>
        <v>5.0343823651368718</v>
      </c>
      <c r="M72" s="312">
        <f>VLOOKUP(A2,calculs_2020_2021_2022!A54:EN72,54,FALSE )</f>
        <v>87.761401649978112</v>
      </c>
    </row>
    <row r="73" spans="1:48" ht="15" customHeight="1" x14ac:dyDescent="0.2">
      <c r="A73" s="39" t="s">
        <v>38</v>
      </c>
      <c r="B73" s="310">
        <f>VLOOKUP(A2,calculs_2020_2021_2022!A4:EN22,55,FALSE )</f>
        <v>5.3661385186518062</v>
      </c>
      <c r="C73" s="311">
        <f>VLOOKUP(A2,calculs_2020_2021_2022!A4:EN22,56,FALSE )</f>
        <v>2.8086360257255936</v>
      </c>
      <c r="D73" s="311">
        <f>VLOOKUP(A2,calculs_2020_2021_2022!A4:EN22,57,FALSE )</f>
        <v>3.4742799611378503</v>
      </c>
      <c r="E73" s="316">
        <f>VLOOKUP(A2,calculs_2020_2021_2022!A4:EN22,58,FALSE )</f>
        <v>64.744507601915785</v>
      </c>
      <c r="F73" s="310">
        <f>VLOOKUP(A2,calculs_2020_2021_2022!A29:EN47,55,FALSE )</f>
        <v>5.3486617963585958</v>
      </c>
      <c r="G73" s="311">
        <f>VLOOKUP(A2,calculs_2020_2021_2022!A29:EN47,56,FALSE )</f>
        <v>3.0026330586749905</v>
      </c>
      <c r="H73" s="311">
        <f>VLOOKUP(A2,calculs_2020_2021_2022!A29:EN47,57,FALSE )</f>
        <v>3.7306198508826602</v>
      </c>
      <c r="I73" s="316">
        <f>VLOOKUP(A2,calculs_2020_2021_2022!A29:EN47,58,FALSE )</f>
        <v>69.748658504123242</v>
      </c>
      <c r="J73" s="310">
        <f>VLOOKUP(A2,calculs_2020_2021_2022!A54:EN72,55,FALSE )</f>
        <v>5.363417886468044</v>
      </c>
      <c r="K73" s="311">
        <f>VLOOKUP(A2,calculs_2020_2021_2022!A54:EN72,56,FALSE )</f>
        <v>3.1228756759071508</v>
      </c>
      <c r="L73" s="311">
        <f>VLOOKUP(A2,calculs_2020_2021_2022!A54:EN72,57,FALSE )</f>
        <v>3.884097349857798</v>
      </c>
      <c r="M73" s="316">
        <f>VLOOKUP(A2,calculs_2020_2021_2022!A54:EN72,58,FALSE )</f>
        <v>72.41832413725237</v>
      </c>
    </row>
    <row r="74" spans="1:48" x14ac:dyDescent="0.2">
      <c r="A74" s="39" t="s">
        <v>98</v>
      </c>
      <c r="B74" s="310">
        <f>VLOOKUP(A2,calculs_2020_2021_2022!A4:EN22,59,FALSE )</f>
        <v>5.5269469944026905</v>
      </c>
      <c r="C74" s="311">
        <f>VLOOKUP(A2,calculs_2020_2021_2022!A4:EN22,60,FALSE )</f>
        <v>4.5988897675591485</v>
      </c>
      <c r="D74" s="311">
        <f>VLOOKUP(A2,calculs_2020_2021_2022!A4:EN22,61,FALSE )</f>
        <v>5.8419767778009613</v>
      </c>
      <c r="E74" s="316">
        <f>VLOOKUP(A2,calculs_2020_2021_2022!A4:EN22,62,FALSE )</f>
        <v>105.69988790768774</v>
      </c>
      <c r="F74" s="310">
        <f>VLOOKUP(A2,calculs_2020_2021_2022!A29:EN47,59,FALSE )</f>
        <v>5.5449955274092977</v>
      </c>
      <c r="G74" s="311">
        <f>VLOOKUP(A2,calculs_2020_2021_2022!A29:EN47,60,FALSE )</f>
        <v>4.4987000973061413</v>
      </c>
      <c r="H74" s="311">
        <f>VLOOKUP(A2,calculs_2020_2021_2022!A29:EN47,61,FALSE )</f>
        <v>5.7775857723112782</v>
      </c>
      <c r="I74" s="316">
        <f>VLOOKUP(A2,calculs_2020_2021_2022!A29:EN47,62,FALSE )</f>
        <v>104.19459752045373</v>
      </c>
      <c r="J74" s="310">
        <f>VLOOKUP(A2,calculs_2020_2021_2022!A54:EN72,59,FALSE )</f>
        <v>5.5476981071826774</v>
      </c>
      <c r="K74" s="311">
        <f>VLOOKUP(A2,calculs_2020_2021_2022!A54:EN72,60,FALSE )</f>
        <v>4.5305663714789155</v>
      </c>
      <c r="L74" s="311">
        <f>VLOOKUP(A2,calculs_2020_2021_2022!A54:EN72,61,FALSE )</f>
        <v>5.835487962772488</v>
      </c>
      <c r="M74" s="316">
        <f>VLOOKUP(A2,calculs_2020_2021_2022!A54:EN72,62,FALSE )</f>
        <v>105.18755436993237</v>
      </c>
    </row>
    <row r="75" spans="1:48" ht="16.5" customHeight="1" thickBot="1" x14ac:dyDescent="0.25">
      <c r="A75" s="202" t="s">
        <v>99</v>
      </c>
      <c r="B75" s="310">
        <f>VLOOKUP(A2,calculs_2020_2021_2022!A4:EN22,63,FALSE )</f>
        <v>5.1122832580724262</v>
      </c>
      <c r="C75" s="311">
        <f>VLOOKUP(A2,calculs_2020_2021_2022!A4:EN22,64,FALSE )</f>
        <v>3.1055752881829655</v>
      </c>
      <c r="D75" s="311">
        <f>VLOOKUP(A2,calculs_2020_2021_2022!A4:EN22,65,FALSE )</f>
        <v>3.9726362154542332</v>
      </c>
      <c r="E75" s="316">
        <f>VLOOKUP(A2,calculs_2020_2021_2022!A4:EN22,66,FALSE )</f>
        <v>77.70767023093525</v>
      </c>
      <c r="F75" s="310">
        <f>VLOOKUP(A2,calculs_2020_2021_2022!A29:EN47,63,FALSE )</f>
        <v>5.111235598032307</v>
      </c>
      <c r="G75" s="311">
        <f>VLOOKUP(A2,calculs_2020_2021_2022!A29:EN47,64,FALSE )</f>
        <v>3.1829043350177897</v>
      </c>
      <c r="H75" s="311">
        <f>VLOOKUP(A2,calculs_2020_2021_2022!A29:EN47,65,FALSE )</f>
        <v>4.0778967271889179</v>
      </c>
      <c r="I75" s="316">
        <f>VLOOKUP(A2,calculs_2020_2021_2022!A29:EN47,66,FALSE )</f>
        <v>79.782992761257205</v>
      </c>
      <c r="J75" s="310">
        <f>VLOOKUP(A2,calculs_2020_2021_2022!A54:EN72,63,FALSE )</f>
        <v>5.1101396119031683</v>
      </c>
      <c r="K75" s="311">
        <f>VLOOKUP(A2,calculs_2020_2021_2022!A54:EN72,64,FALSE )</f>
        <v>3.3179238603231518</v>
      </c>
      <c r="L75" s="311">
        <f>VLOOKUP(A2,calculs_2020_2021_2022!A54:EN72,65,FALSE )</f>
        <v>4.2498491226585884</v>
      </c>
      <c r="M75" s="316">
        <f>VLOOKUP(A2,calculs_2020_2021_2022!A54:EN72,66,FALSE )</f>
        <v>83.165029635576175</v>
      </c>
    </row>
    <row r="76" spans="1:48" ht="13.5" thickBot="1" x14ac:dyDescent="0.25">
      <c r="A76" s="138" t="s">
        <v>84</v>
      </c>
      <c r="B76" s="317">
        <f>$B$8</f>
        <v>5.5</v>
      </c>
      <c r="C76" s="318">
        <f>$B$20</f>
        <v>3.5</v>
      </c>
      <c r="D76" s="318">
        <f>$B$22</f>
        <v>4.5</v>
      </c>
      <c r="E76" s="319">
        <f>$B$34</f>
        <v>81.953749814349436</v>
      </c>
      <c r="F76" s="317">
        <f>$C$8</f>
        <v>5.5</v>
      </c>
      <c r="G76" s="318">
        <f>$C$20</f>
        <v>3.7</v>
      </c>
      <c r="H76" s="318">
        <f>$C$22</f>
        <v>4.7</v>
      </c>
      <c r="I76" s="319">
        <f>$C$34</f>
        <v>85.980190534527665</v>
      </c>
      <c r="J76" s="317">
        <f>$D$8</f>
        <v>5.5</v>
      </c>
      <c r="K76" s="318">
        <f>$D$20</f>
        <v>3.6</v>
      </c>
      <c r="L76" s="318">
        <f>$D$22</f>
        <v>4.7</v>
      </c>
      <c r="M76" s="319">
        <f>$D$34</f>
        <v>85.726446031234261</v>
      </c>
    </row>
    <row r="77" spans="1:48" s="99" customFormat="1" ht="12.75" customHeight="1" x14ac:dyDescent="0.25">
      <c r="A77" s="387" t="s">
        <v>67</v>
      </c>
      <c r="B77" s="388"/>
      <c r="C77" s="388"/>
      <c r="D77" s="388"/>
      <c r="E77" s="388"/>
      <c r="F77" s="388"/>
      <c r="G77" s="388"/>
      <c r="H77" s="388"/>
      <c r="I77" s="388"/>
      <c r="J77" s="388"/>
      <c r="K77" s="388"/>
      <c r="L77" s="388"/>
      <c r="M77" s="389"/>
      <c r="N77" s="101"/>
      <c r="O77" s="101"/>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row>
    <row r="78" spans="1:48" s="99" customFormat="1" ht="25.5" customHeight="1" x14ac:dyDescent="0.25">
      <c r="A78" s="390" t="s">
        <v>93</v>
      </c>
      <c r="B78" s="353"/>
      <c r="C78" s="353"/>
      <c r="D78" s="353"/>
      <c r="E78" s="353"/>
      <c r="F78" s="353"/>
      <c r="G78" s="353"/>
      <c r="H78" s="353"/>
      <c r="I78" s="353"/>
      <c r="J78" s="353"/>
      <c r="K78" s="353"/>
      <c r="L78" s="353"/>
      <c r="M78" s="391"/>
      <c r="N78" s="101"/>
      <c r="O78" s="101"/>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row>
    <row r="79" spans="1:48" s="99" customFormat="1" ht="12.75" customHeight="1" x14ac:dyDescent="0.25">
      <c r="A79" s="390" t="s">
        <v>96</v>
      </c>
      <c r="B79" s="353"/>
      <c r="C79" s="353"/>
      <c r="D79" s="353"/>
      <c r="E79" s="353"/>
      <c r="F79" s="353"/>
      <c r="G79" s="353"/>
      <c r="H79" s="353"/>
      <c r="I79" s="353"/>
      <c r="J79" s="353"/>
      <c r="K79" s="353"/>
      <c r="L79" s="353"/>
      <c r="M79" s="391"/>
      <c r="N79" s="101"/>
      <c r="O79" s="101"/>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row>
    <row r="80" spans="1:48" ht="12.75" customHeight="1" x14ac:dyDescent="0.2">
      <c r="A80" s="390" t="s">
        <v>97</v>
      </c>
      <c r="B80" s="353"/>
      <c r="C80" s="353"/>
      <c r="D80" s="353"/>
      <c r="E80" s="353"/>
      <c r="F80" s="353"/>
      <c r="G80" s="353"/>
      <c r="H80" s="353"/>
      <c r="I80" s="353"/>
      <c r="J80" s="353"/>
      <c r="K80" s="353"/>
      <c r="L80" s="353"/>
      <c r="M80" s="391"/>
    </row>
    <row r="81" spans="1:48" s="99" customFormat="1" ht="12.75" customHeight="1" x14ac:dyDescent="0.25">
      <c r="A81" s="390" t="s">
        <v>89</v>
      </c>
      <c r="B81" s="353"/>
      <c r="C81" s="353"/>
      <c r="D81" s="353"/>
      <c r="E81" s="353"/>
      <c r="F81" s="353"/>
      <c r="G81" s="353"/>
      <c r="H81" s="353"/>
      <c r="I81" s="353"/>
      <c r="J81" s="353"/>
      <c r="K81" s="353"/>
      <c r="L81" s="353"/>
      <c r="M81" s="391"/>
      <c r="N81" s="101"/>
      <c r="O81" s="101"/>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row>
    <row r="82" spans="1:48" s="99" customFormat="1" ht="12.75" customHeight="1" x14ac:dyDescent="0.25">
      <c r="A82" s="392" t="s">
        <v>133</v>
      </c>
      <c r="B82" s="393"/>
      <c r="C82" s="393"/>
      <c r="D82" s="393"/>
      <c r="E82" s="393"/>
      <c r="F82" s="393"/>
      <c r="G82" s="393"/>
      <c r="H82" s="393"/>
      <c r="I82" s="393"/>
      <c r="J82" s="393"/>
      <c r="K82" s="393"/>
      <c r="L82" s="393"/>
      <c r="M82" s="394"/>
      <c r="N82" s="101"/>
      <c r="O82" s="101"/>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row>
    <row r="83" spans="1:48" x14ac:dyDescent="0.2">
      <c r="A83" s="21"/>
      <c r="B83" s="21"/>
      <c r="C83" s="21"/>
      <c r="D83" s="21"/>
      <c r="E83" s="21"/>
      <c r="F83" s="21"/>
      <c r="G83" s="21"/>
      <c r="H83" s="21"/>
      <c r="I83" s="21"/>
      <c r="J83" s="21"/>
      <c r="K83" s="21"/>
    </row>
    <row r="84" spans="1:48" x14ac:dyDescent="0.2">
      <c r="A84" s="21"/>
      <c r="B84" s="21"/>
      <c r="C84" s="44"/>
      <c r="D84" s="21"/>
      <c r="E84" s="21"/>
      <c r="F84" s="21"/>
      <c r="G84" s="21"/>
      <c r="H84" s="21"/>
      <c r="I84" s="21"/>
      <c r="J84" s="21"/>
      <c r="K84" s="21"/>
    </row>
    <row r="85" spans="1:48" ht="33" customHeight="1" x14ac:dyDescent="0.2">
      <c r="A85" s="383" t="s">
        <v>100</v>
      </c>
      <c r="B85" s="383"/>
      <c r="C85" s="383"/>
      <c r="D85" s="383"/>
      <c r="E85" s="383"/>
      <c r="F85" s="383"/>
      <c r="G85" s="383"/>
      <c r="H85" s="383"/>
      <c r="I85" s="383"/>
      <c r="J85" s="383"/>
      <c r="K85" s="383"/>
      <c r="L85" s="383"/>
      <c r="M85" s="383"/>
    </row>
    <row r="86" spans="1:48" ht="12.75" customHeight="1" thickBot="1" x14ac:dyDescent="0.3">
      <c r="A86" s="108"/>
      <c r="B86" s="108"/>
      <c r="C86" s="108"/>
      <c r="D86" s="108"/>
      <c r="E86" s="19"/>
      <c r="F86" s="101"/>
      <c r="G86" s="101"/>
      <c r="H86" s="19"/>
      <c r="I86" s="106"/>
      <c r="J86" s="19"/>
      <c r="K86" s="106"/>
      <c r="S86" s="106" t="s">
        <v>3</v>
      </c>
    </row>
    <row r="87" spans="1:48" ht="13.5" thickBot="1" x14ac:dyDescent="0.25">
      <c r="A87" s="45"/>
      <c r="B87" s="384">
        <v>2020</v>
      </c>
      <c r="C87" s="385"/>
      <c r="D87" s="385"/>
      <c r="E87" s="385"/>
      <c r="F87" s="385"/>
      <c r="G87" s="386"/>
      <c r="H87" s="384" t="s">
        <v>46</v>
      </c>
      <c r="I87" s="385"/>
      <c r="J87" s="385"/>
      <c r="K87" s="385"/>
      <c r="L87" s="385"/>
      <c r="M87" s="386"/>
      <c r="N87" s="384" t="s">
        <v>126</v>
      </c>
      <c r="O87" s="385"/>
      <c r="P87" s="385"/>
      <c r="Q87" s="385"/>
      <c r="R87" s="385"/>
      <c r="S87" s="386"/>
    </row>
    <row r="88" spans="1:48" ht="39" thickBot="1" x14ac:dyDescent="0.25">
      <c r="A88" s="46"/>
      <c r="B88" s="198" t="s">
        <v>61</v>
      </c>
      <c r="C88" s="110" t="s">
        <v>62</v>
      </c>
      <c r="D88" s="112" t="s">
        <v>63</v>
      </c>
      <c r="E88" s="110" t="s">
        <v>64</v>
      </c>
      <c r="F88" s="112" t="s">
        <v>65</v>
      </c>
      <c r="G88" s="111" t="s">
        <v>66</v>
      </c>
      <c r="H88" s="113" t="s">
        <v>61</v>
      </c>
      <c r="I88" s="114" t="s">
        <v>62</v>
      </c>
      <c r="J88" s="115" t="s">
        <v>63</v>
      </c>
      <c r="K88" s="110" t="s">
        <v>64</v>
      </c>
      <c r="L88" s="112" t="s">
        <v>65</v>
      </c>
      <c r="M88" s="111" t="s">
        <v>66</v>
      </c>
      <c r="N88" s="113" t="s">
        <v>61</v>
      </c>
      <c r="O88" s="114" t="s">
        <v>62</v>
      </c>
      <c r="P88" s="115" t="s">
        <v>63</v>
      </c>
      <c r="Q88" s="110" t="s">
        <v>64</v>
      </c>
      <c r="R88" s="112" t="s">
        <v>65</v>
      </c>
      <c r="S88" s="111" t="s">
        <v>66</v>
      </c>
    </row>
    <row r="89" spans="1:48" x14ac:dyDescent="0.2">
      <c r="A89" s="195" t="s">
        <v>8</v>
      </c>
      <c r="B89" s="320">
        <f>VLOOKUP(A2,calculs_2020_2021_2022!A4:EN22,67,FALSE )</f>
        <v>40.629550800940969</v>
      </c>
      <c r="C89" s="321">
        <f>VLOOKUP(A2,calculs_2020_2021_2022!A4:EN22,68,FALSE )</f>
        <v>6.8668085583062615</v>
      </c>
      <c r="D89" s="321">
        <f>VLOOKUP(A2,calculs_2020_2021_2022!A4:EN22,69,FALSE )</f>
        <v>6.3963257533325866</v>
      </c>
      <c r="E89" s="322">
        <f>VLOOKUP(A2,calculs_2020_2021_2022!A4:EN22,70,FALSE )</f>
        <v>7.8749859975355658</v>
      </c>
      <c r="F89" s="322">
        <f>VLOOKUP(A2,calculs_2020_2021_2022!A4:EN22,71,FALSE )</f>
        <v>7.59493670886076</v>
      </c>
      <c r="G89" s="309">
        <f>VLOOKUP(A2,calculs_2020_2021_2022!A4:EN22,72,FALSE )</f>
        <v>30.637392181023859</v>
      </c>
      <c r="H89" s="320">
        <f>VLOOKUP(A2,calculs_2020_2021_2022!A29:EN47,67,FALSE )</f>
        <v>36.754893238434164</v>
      </c>
      <c r="I89" s="321">
        <f>VLOOKUP(A2,calculs_2020_2021_2022!A29:EN47,68,FALSE )</f>
        <v>6.6392348754448394</v>
      </c>
      <c r="J89" s="321">
        <f>VLOOKUP(A2,calculs_2020_2021_2022!A29:EN47,69,FALSE )</f>
        <v>6.6948398576512451</v>
      </c>
      <c r="K89" s="322">
        <f>VLOOKUP(A2,calculs_2020_2021_2022!A29:EN47,70,FALSE )</f>
        <v>8.162811387900355</v>
      </c>
      <c r="L89" s="322">
        <f>VLOOKUP(A2,calculs_2020_2021_2022!A29:EN47,71,FALSE )</f>
        <v>8.062722419928825</v>
      </c>
      <c r="M89" s="309">
        <f>VLOOKUP(A2,calculs_2020_2021_2022!A29:EN47,72,FALSE )</f>
        <v>33.685498220640568</v>
      </c>
      <c r="N89" s="320">
        <f>VLOOKUP(A2,calculs_2020_2021_2022!A54:EN72,67,FALSE )</f>
        <v>35.952977032763691</v>
      </c>
      <c r="O89" s="321">
        <f>VLOOKUP(A2,calculs_2020_2021_2022!A54:EN72,68,FALSE )</f>
        <v>6.9663655164906944</v>
      </c>
      <c r="P89" s="321">
        <f>VLOOKUP(A2,calculs_2020_2021_2022!A54:EN72,69,FALSE )</f>
        <v>6.4221182105148582</v>
      </c>
      <c r="Q89" s="322">
        <f>VLOOKUP(A2,calculs_2020_2021_2022!A54:EN72,70,FALSE )</f>
        <v>7.6847719603787956</v>
      </c>
      <c r="R89" s="322">
        <f>VLOOKUP(A2,calculs_2020_2021_2022!A54:EN72,71,FALSE )</f>
        <v>8.0330902362033303</v>
      </c>
      <c r="S89" s="309">
        <f>VLOOKUP(A2,calculs_2020_2021_2022!A54:EN72,72,FALSE )</f>
        <v>34.940677043648634</v>
      </c>
    </row>
    <row r="90" spans="1:48" x14ac:dyDescent="0.2">
      <c r="A90" s="196" t="s">
        <v>9</v>
      </c>
      <c r="B90" s="323">
        <f>VLOOKUP(A2,calculs_2020_2021_2022!A4:EN22,73,FALSE )</f>
        <v>13.594926674593738</v>
      </c>
      <c r="C90" s="324">
        <f>VLOOKUP(A2,calculs_2020_2021_2022!A4:EN22,74,FALSE )</f>
        <v>12.841854934601665</v>
      </c>
      <c r="D90" s="324">
        <f>VLOOKUP(A2,calculs_2020_2021_2022!A4:EN22,75,FALSE )</f>
        <v>17.47919143876338</v>
      </c>
      <c r="E90" s="325">
        <f>VLOOKUP(A2,calculs_2020_2021_2022!A4:EN22,76,FALSE )</f>
        <v>17.320650019817677</v>
      </c>
      <c r="F90" s="325">
        <f>VLOOKUP(A2,calculs_2020_2021_2022!A4:EN22,77,FALSE )</f>
        <v>11.850971066191041</v>
      </c>
      <c r="G90" s="312">
        <f>VLOOKUP(A2,calculs_2020_2021_2022!A4:EN22,78,FALSE )</f>
        <v>26.912405866032501</v>
      </c>
      <c r="H90" s="323">
        <f>VLOOKUP(A2,calculs_2020_2021_2022!A29:EN47,73,FALSE )</f>
        <v>11.74577634754626</v>
      </c>
      <c r="I90" s="324">
        <f>VLOOKUP(A2,calculs_2020_2021_2022!A29:EN47,74,FALSE )</f>
        <v>11.866452131938859</v>
      </c>
      <c r="J90" s="324">
        <f>VLOOKUP(A2,calculs_2020_2021_2022!A29:EN47,75,FALSE )</f>
        <v>15.728077232502011</v>
      </c>
      <c r="K90" s="325">
        <f>VLOOKUP(A2,calculs_2020_2021_2022!A29:EN47,76,FALSE )</f>
        <v>17.53821399839099</v>
      </c>
      <c r="L90" s="325">
        <f>VLOOKUP(A2,calculs_2020_2021_2022!A29:EN47,77,FALSE )</f>
        <v>13.475462590506837</v>
      </c>
      <c r="M90" s="312">
        <f>VLOOKUP(A2,calculs_2020_2021_2022!A29:EN47,78,FALSE )</f>
        <v>29.646017699115045</v>
      </c>
      <c r="N90" s="323">
        <f>VLOOKUP(A2,calculs_2020_2021_2022!A54:EN72,73,FALSE )</f>
        <v>11.929824561403509</v>
      </c>
      <c r="O90" s="324">
        <f>VLOOKUP(A2,calculs_2020_2021_2022!A54:EN72,74,FALSE )</f>
        <v>11.500974658869396</v>
      </c>
      <c r="P90" s="324">
        <f>VLOOKUP(A2,calculs_2020_2021_2022!A54:EN72,75,FALSE )</f>
        <v>16.842105263157894</v>
      </c>
      <c r="Q90" s="325">
        <f>VLOOKUP(A2,calculs_2020_2021_2022!A54:EN72,76,FALSE )</f>
        <v>17.42690058479532</v>
      </c>
      <c r="R90" s="325">
        <f>VLOOKUP(A2,calculs_2020_2021_2022!A54:EN72,77,FALSE )</f>
        <v>13.411306042884991</v>
      </c>
      <c r="S90" s="312">
        <f>VLOOKUP(A2,calculs_2020_2021_2022!A54:EN72,78,FALSE )</f>
        <v>28.888888888888886</v>
      </c>
    </row>
    <row r="91" spans="1:48" x14ac:dyDescent="0.2">
      <c r="A91" s="197" t="s">
        <v>42</v>
      </c>
      <c r="B91" s="323">
        <f>VLOOKUP(A2,calculs_2020_2021_2022!A4:EN22,79,FALSE )</f>
        <v>3.3355570380253505</v>
      </c>
      <c r="C91" s="324">
        <f>VLOOKUP(A2,calculs_2020_2021_2022!A4:EN22,80,FALSE )</f>
        <v>15.61040693795864</v>
      </c>
      <c r="D91" s="324">
        <f>VLOOKUP(A2,calculs_2020_2021_2022!A4:EN22,81,FALSE )</f>
        <v>20.947298198799199</v>
      </c>
      <c r="E91" s="325">
        <f>VLOOKUP(A2,calculs_2020_2021_2022!A4:EN22,82,FALSE )</f>
        <v>17.61174116077385</v>
      </c>
      <c r="F91" s="325">
        <f>VLOOKUP(A2,calculs_2020_2021_2022!A4:EN22,83,FALSE )</f>
        <v>16.611074049366245</v>
      </c>
      <c r="G91" s="312">
        <f>VLOOKUP(A2,calculs_2020_2021_2022!A4:EN22,84,FALSE )</f>
        <v>25.883922615076717</v>
      </c>
      <c r="H91" s="323">
        <f>VLOOKUP(A2,calculs_2020_2021_2022!A29:EN47,79,FALSE )</f>
        <v>2.5693035835023665</v>
      </c>
      <c r="I91" s="324">
        <f>VLOOKUP(A2,calculs_2020_2021_2022!A29:EN47,80,FALSE )</f>
        <v>14.131169709263016</v>
      </c>
      <c r="J91" s="324">
        <f>VLOOKUP(A2,calculs_2020_2021_2022!A29:EN47,81,FALSE )</f>
        <v>19.202163624070316</v>
      </c>
      <c r="K91" s="325">
        <f>VLOOKUP(A2,calculs_2020_2021_2022!A29:EN47,82,FALSE )</f>
        <v>20.216362407031781</v>
      </c>
      <c r="L91" s="325">
        <f>VLOOKUP(A2,calculs_2020_2021_2022!A29:EN47,83,FALSE )</f>
        <v>16.700473292765384</v>
      </c>
      <c r="M91" s="312">
        <f>VLOOKUP(A2,calculs_2020_2021_2022!A29:EN47,84,FALSE )</f>
        <v>27.180527383367142</v>
      </c>
      <c r="N91" s="323">
        <f>VLOOKUP(A2,calculs_2020_2021_2022!A54:EN72,79,FALSE )</f>
        <v>2.6437541308658297</v>
      </c>
      <c r="O91" s="324">
        <f>VLOOKUP(A2,calculs_2020_2021_2022!A54:EN72,80,FALSE )</f>
        <v>13.218770654329148</v>
      </c>
      <c r="P91" s="324">
        <f>VLOOKUP(A2,calculs_2020_2021_2022!A54:EN72,81,FALSE )</f>
        <v>20.224719101123593</v>
      </c>
      <c r="Q91" s="325">
        <f>VLOOKUP(A2,calculs_2020_2021_2022!A54:EN72,82,FALSE )</f>
        <v>19.167217448777262</v>
      </c>
      <c r="R91" s="325">
        <f>VLOOKUP(A2,calculs_2020_2021_2022!A54:EN72,83,FALSE )</f>
        <v>16.589557171183081</v>
      </c>
      <c r="S91" s="312">
        <f>VLOOKUP(A2,calculs_2020_2021_2022!A54:EN72,84,FALSE )</f>
        <v>28.155981493721082</v>
      </c>
    </row>
    <row r="92" spans="1:48" x14ac:dyDescent="0.2">
      <c r="A92" s="197" t="s">
        <v>41</v>
      </c>
      <c r="B92" s="323">
        <f>VLOOKUP(A2,calculs_2020_2021_2022!A4:EN22,85,FALSE )</f>
        <v>1.160092807424594</v>
      </c>
      <c r="C92" s="324">
        <f>VLOOKUP(A2,calculs_2020_2021_2022!A4:EN22,86,FALSE )</f>
        <v>11.136890951276101</v>
      </c>
      <c r="D92" s="324">
        <f>VLOOKUP(A2,calculs_2020_2021_2022!A4:EN22,87,FALSE )</f>
        <v>22.96983758700696</v>
      </c>
      <c r="E92" s="325">
        <f>VLOOKUP(A2,calculs_2020_2021_2022!A4:EN22,88,FALSE )</f>
        <v>20.649651972157773</v>
      </c>
      <c r="F92" s="325">
        <f>VLOOKUP(A2,calculs_2020_2021_2022!A4:EN22,89,FALSE )</f>
        <v>16.705336426914151</v>
      </c>
      <c r="G92" s="312">
        <f>VLOOKUP(A2,calculs_2020_2021_2022!A4:EN22,90,FALSE )</f>
        <v>27.378190255220421</v>
      </c>
      <c r="H92" s="323">
        <f>VLOOKUP(A2,calculs_2020_2021_2022!A29:EN47,85,FALSE )</f>
        <v>1.1286681715575622</v>
      </c>
      <c r="I92" s="324">
        <f>VLOOKUP(A2,calculs_2020_2021_2022!A29:EN47,86,FALSE )</f>
        <v>11.512415349887133</v>
      </c>
      <c r="J92" s="324">
        <f>VLOOKUP(A2,calculs_2020_2021_2022!A29:EN47,87,FALSE )</f>
        <v>18.058690744920995</v>
      </c>
      <c r="K92" s="325">
        <f>VLOOKUP(A2,calculs_2020_2021_2022!A29:EN47,88,FALSE )</f>
        <v>20.767494356659142</v>
      </c>
      <c r="L92" s="325">
        <f>VLOOKUP(A2,calculs_2020_2021_2022!A29:EN47,89,FALSE )</f>
        <v>20.090293453724605</v>
      </c>
      <c r="M92" s="312">
        <f>VLOOKUP(A2,calculs_2020_2021_2022!A29:EN47,90,FALSE )</f>
        <v>28.442437923250562</v>
      </c>
      <c r="N92" s="323">
        <f>VLOOKUP(A2,calculs_2020_2021_2022!A54:EN72,85,FALSE )</f>
        <v>1.5250544662309369</v>
      </c>
      <c r="O92" s="324">
        <f>VLOOKUP(A2,calculs_2020_2021_2022!A54:EN72,86,FALSE )</f>
        <v>11.546840958605664</v>
      </c>
      <c r="P92" s="324">
        <f>VLOOKUP(A2,calculs_2020_2021_2022!A54:EN72,87,FALSE )</f>
        <v>18.518518518518519</v>
      </c>
      <c r="Q92" s="325">
        <f>VLOOKUP(A2,calculs_2020_2021_2022!A54:EN72,88,FALSE )</f>
        <v>20.043572984749456</v>
      </c>
      <c r="R92" s="325">
        <f>VLOOKUP(A2,calculs_2020_2021_2022!A54:EN72,89,FALSE )</f>
        <v>19.825708061002178</v>
      </c>
      <c r="S92" s="312">
        <f>VLOOKUP(A2,calculs_2020_2021_2022!A54:EN72,90,FALSE )</f>
        <v>28.540305010893245</v>
      </c>
    </row>
    <row r="93" spans="1:48" ht="13.5" thickBot="1" x14ac:dyDescent="0.25">
      <c r="A93" s="196" t="s">
        <v>7</v>
      </c>
      <c r="B93" s="323">
        <f>VLOOKUP(A2,calculs_2020_2021_2022!A4:EN22,91,FALSE )</f>
        <v>0.31545741324921134</v>
      </c>
      <c r="C93" s="324">
        <f>VLOOKUP(A2,calculs_2020_2021_2022!A4:EN22,92,FALSE )</f>
        <v>7.8864353312302837</v>
      </c>
      <c r="D93" s="324">
        <f>VLOOKUP(A2,calculs_2020_2021_2022!A4:EN22,93,FALSE )</f>
        <v>19.873817034700316</v>
      </c>
      <c r="E93" s="325">
        <f>VLOOKUP(A2,calculs_2020_2021_2022!A4:EN22,94,FALSE )</f>
        <v>22.712933753943219</v>
      </c>
      <c r="F93" s="325">
        <f>VLOOKUP(A2,calculs_2020_2021_2022!A4:EN22,95,FALSE )</f>
        <v>19.242902208201894</v>
      </c>
      <c r="G93" s="312">
        <f>VLOOKUP(A2,calculs_2020_2021_2022!A4:EN22,96,FALSE )</f>
        <v>29.968454258675081</v>
      </c>
      <c r="H93" s="323">
        <f>VLOOKUP(A2,calculs_2020_2021_2022!A29:EN47,91,FALSE )</f>
        <v>0.63897763578274758</v>
      </c>
      <c r="I93" s="324">
        <f>VLOOKUP(A2,calculs_2020_2021_2022!A29:EN47,92,FALSE )</f>
        <v>5.1118210862619806</v>
      </c>
      <c r="J93" s="324">
        <f>VLOOKUP(A2,calculs_2020_2021_2022!A29:EN47,93,FALSE )</f>
        <v>21.725239616613418</v>
      </c>
      <c r="K93" s="325">
        <f>VLOOKUP(A2,calculs_2020_2021_2022!A29:EN47,94,FALSE )</f>
        <v>21.405750798722046</v>
      </c>
      <c r="L93" s="325">
        <f>VLOOKUP(A2,calculs_2020_2021_2022!A29:EN47,95,FALSE )</f>
        <v>20.447284345047922</v>
      </c>
      <c r="M93" s="312">
        <f>VLOOKUP(A2,calculs_2020_2021_2022!A29:EN47,96,FALSE )</f>
        <v>30.670926517571885</v>
      </c>
      <c r="N93" s="323">
        <f>VLOOKUP(A2,calculs_2020_2021_2022!A54:EN72,91,FALSE )</f>
        <v>0.64935064935064934</v>
      </c>
      <c r="O93" s="324">
        <f>VLOOKUP(A2,calculs_2020_2021_2022!A54:EN72,92,FALSE )</f>
        <v>5.8441558441558437</v>
      </c>
      <c r="P93" s="324">
        <f>VLOOKUP(A2,calculs_2020_2021_2022!A54:EN72,93,FALSE )</f>
        <v>16.558441558441558</v>
      </c>
      <c r="Q93" s="325">
        <f>VLOOKUP(A2,calculs_2020_2021_2022!A54:EN72,94,FALSE )</f>
        <v>25</v>
      </c>
      <c r="R93" s="325">
        <f>VLOOKUP(A2,calculs_2020_2021_2022!A54:EN72,95,FALSE )</f>
        <v>21.753246753246753</v>
      </c>
      <c r="S93" s="312">
        <f>VLOOKUP(A2,calculs_2020_2021_2022!A54:EN72,96,FALSE )</f>
        <v>30.194805194805198</v>
      </c>
    </row>
    <row r="94" spans="1:48" ht="13.5" thickBot="1" x14ac:dyDescent="0.25">
      <c r="A94" s="137" t="s">
        <v>84</v>
      </c>
      <c r="B94" s="326">
        <f>$B$36</f>
        <v>29.393297802438489</v>
      </c>
      <c r="C94" s="327">
        <f>$B$37</f>
        <v>9.0822807914141777</v>
      </c>
      <c r="D94" s="327">
        <f>$B$38</f>
        <v>10.863692779440754</v>
      </c>
      <c r="E94" s="328">
        <f>$B$39</f>
        <v>11.425859677301599</v>
      </c>
      <c r="F94" s="328">
        <f>$B$40</f>
        <v>9.9218807038037529</v>
      </c>
      <c r="G94" s="315">
        <f>$B$41</f>
        <v>29.312988245601229</v>
      </c>
      <c r="H94" s="326">
        <f>$C$36</f>
        <v>26.558739881863925</v>
      </c>
      <c r="I94" s="327">
        <f>$C$37</f>
        <v>8.5174651790271998</v>
      </c>
      <c r="J94" s="327">
        <f>$C$38</f>
        <v>10.391599212426165</v>
      </c>
      <c r="K94" s="328">
        <f>$C$39</f>
        <v>11.871946328301613</v>
      </c>
      <c r="L94" s="328">
        <f>$C$40</f>
        <v>10.646831473784001</v>
      </c>
      <c r="M94" s="315">
        <f>$C$41</f>
        <v>32.0134179245971</v>
      </c>
      <c r="N94" s="326">
        <f>$D$36</f>
        <v>26.068985176738884</v>
      </c>
      <c r="O94" s="327">
        <f>$D$37</f>
        <v>8.5946408209806169</v>
      </c>
      <c r="P94" s="327">
        <f>$D$38</f>
        <v>10.433295324971494</v>
      </c>
      <c r="Q94" s="328">
        <f>$D$39</f>
        <v>11.488027366020525</v>
      </c>
      <c r="R94" s="328">
        <f>$D$40</f>
        <v>10.625712656784494</v>
      </c>
      <c r="S94" s="315">
        <f>$D$41</f>
        <v>32.789338654503993</v>
      </c>
    </row>
    <row r="95" spans="1:48" s="99" customFormat="1" ht="12.75" customHeight="1" x14ac:dyDescent="0.2">
      <c r="A95" s="387" t="s">
        <v>67</v>
      </c>
      <c r="B95" s="388"/>
      <c r="C95" s="388"/>
      <c r="D95" s="388"/>
      <c r="E95" s="388"/>
      <c r="F95" s="388"/>
      <c r="G95" s="388"/>
      <c r="H95" s="388"/>
      <c r="I95" s="388"/>
      <c r="J95" s="388"/>
      <c r="K95" s="388"/>
      <c r="L95" s="388"/>
      <c r="M95" s="388"/>
      <c r="N95" s="388"/>
      <c r="O95" s="388"/>
      <c r="P95" s="388"/>
      <c r="Q95" s="388"/>
      <c r="R95" s="388"/>
      <c r="S95" s="389"/>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row>
    <row r="96" spans="1:48" s="99" customFormat="1" x14ac:dyDescent="0.2">
      <c r="A96" s="390" t="s">
        <v>93</v>
      </c>
      <c r="B96" s="353"/>
      <c r="C96" s="353"/>
      <c r="D96" s="353"/>
      <c r="E96" s="353"/>
      <c r="F96" s="353"/>
      <c r="G96" s="353"/>
      <c r="H96" s="353"/>
      <c r="I96" s="353"/>
      <c r="J96" s="353"/>
      <c r="K96" s="353"/>
      <c r="L96" s="353"/>
      <c r="M96" s="353"/>
      <c r="N96" s="353"/>
      <c r="O96" s="353"/>
      <c r="P96" s="353"/>
      <c r="Q96" s="353"/>
      <c r="R96" s="353"/>
      <c r="S96" s="391"/>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row>
    <row r="97" spans="1:48" s="99" customFormat="1" ht="12.75" customHeight="1" x14ac:dyDescent="0.2">
      <c r="A97" s="390" t="s">
        <v>89</v>
      </c>
      <c r="B97" s="353"/>
      <c r="C97" s="353"/>
      <c r="D97" s="353"/>
      <c r="E97" s="353"/>
      <c r="F97" s="353"/>
      <c r="G97" s="353"/>
      <c r="H97" s="353"/>
      <c r="I97" s="353"/>
      <c r="J97" s="353"/>
      <c r="K97" s="353"/>
      <c r="L97" s="353"/>
      <c r="M97" s="353"/>
      <c r="N97" s="353"/>
      <c r="O97" s="353"/>
      <c r="P97" s="353"/>
      <c r="Q97" s="353"/>
      <c r="R97" s="353"/>
      <c r="S97" s="391"/>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row>
    <row r="98" spans="1:48" s="99" customFormat="1" ht="12.75" customHeight="1" x14ac:dyDescent="0.2">
      <c r="A98" s="401" t="s">
        <v>133</v>
      </c>
      <c r="B98" s="402"/>
      <c r="C98" s="402"/>
      <c r="D98" s="402"/>
      <c r="E98" s="402"/>
      <c r="F98" s="402"/>
      <c r="G98" s="402"/>
      <c r="H98" s="402"/>
      <c r="I98" s="402"/>
      <c r="J98" s="402"/>
      <c r="K98" s="402"/>
      <c r="L98" s="402"/>
      <c r="M98" s="402"/>
      <c r="N98" s="402"/>
      <c r="O98" s="402"/>
      <c r="P98" s="402"/>
      <c r="Q98" s="402"/>
      <c r="R98" s="402"/>
      <c r="S98" s="403"/>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row>
    <row r="99" spans="1:48" x14ac:dyDescent="0.2">
      <c r="A99" s="21"/>
      <c r="B99" s="21"/>
      <c r="C99" s="21"/>
      <c r="D99" s="21"/>
      <c r="E99" s="21"/>
      <c r="F99" s="21"/>
      <c r="G99" s="21"/>
      <c r="H99" s="21"/>
      <c r="I99" s="21"/>
      <c r="J99" s="21"/>
      <c r="K99" s="21"/>
    </row>
    <row r="100" spans="1:48" x14ac:dyDescent="0.2">
      <c r="A100" s="21"/>
      <c r="B100" s="21"/>
      <c r="C100" s="44"/>
      <c r="D100" s="21"/>
      <c r="E100" s="21"/>
      <c r="F100" s="21"/>
      <c r="G100" s="21"/>
      <c r="H100" s="21"/>
      <c r="I100" s="21"/>
      <c r="J100" s="21"/>
      <c r="K100" s="21"/>
    </row>
    <row r="101" spans="1:48" ht="33" customHeight="1" x14ac:dyDescent="0.2">
      <c r="A101" s="383" t="s">
        <v>101</v>
      </c>
      <c r="B101" s="383"/>
      <c r="C101" s="383"/>
      <c r="D101" s="383"/>
      <c r="E101" s="383"/>
      <c r="F101" s="383"/>
      <c r="G101" s="383"/>
      <c r="H101" s="383"/>
      <c r="I101" s="383"/>
      <c r="J101" s="383"/>
      <c r="K101" s="383"/>
      <c r="L101" s="383"/>
      <c r="M101" s="383"/>
    </row>
    <row r="102" spans="1:48" ht="12.75" customHeight="1" thickBot="1" x14ac:dyDescent="0.25">
      <c r="A102" s="108"/>
      <c r="B102" s="108"/>
      <c r="C102" s="108"/>
      <c r="D102" s="108"/>
      <c r="E102" s="19"/>
      <c r="F102" s="19"/>
      <c r="G102" s="19"/>
      <c r="H102" s="19"/>
      <c r="I102" s="106"/>
      <c r="J102" s="19"/>
      <c r="K102" s="106"/>
      <c r="S102" s="106" t="s">
        <v>3</v>
      </c>
    </row>
    <row r="103" spans="1:48" ht="13.5" thickBot="1" x14ac:dyDescent="0.25">
      <c r="A103" s="45"/>
      <c r="B103" s="384">
        <v>2020</v>
      </c>
      <c r="C103" s="385"/>
      <c r="D103" s="385"/>
      <c r="E103" s="385"/>
      <c r="F103" s="385"/>
      <c r="G103" s="386"/>
      <c r="H103" s="384" t="s">
        <v>46</v>
      </c>
      <c r="I103" s="385"/>
      <c r="J103" s="385"/>
      <c r="K103" s="385"/>
      <c r="L103" s="385"/>
      <c r="M103" s="386"/>
      <c r="N103" s="384" t="s">
        <v>126</v>
      </c>
      <c r="O103" s="385"/>
      <c r="P103" s="385"/>
      <c r="Q103" s="385"/>
      <c r="R103" s="385"/>
      <c r="S103" s="386"/>
    </row>
    <row r="104" spans="1:48" ht="39" thickBot="1" x14ac:dyDescent="0.25">
      <c r="A104" s="46"/>
      <c r="B104" s="198" t="s">
        <v>61</v>
      </c>
      <c r="C104" s="110" t="s">
        <v>62</v>
      </c>
      <c r="D104" s="112" t="s">
        <v>63</v>
      </c>
      <c r="E104" s="110" t="s">
        <v>64</v>
      </c>
      <c r="F104" s="112" t="s">
        <v>65</v>
      </c>
      <c r="G104" s="111" t="s">
        <v>66</v>
      </c>
      <c r="H104" s="198" t="s">
        <v>61</v>
      </c>
      <c r="I104" s="110" t="s">
        <v>62</v>
      </c>
      <c r="J104" s="112" t="s">
        <v>63</v>
      </c>
      <c r="K104" s="110" t="s">
        <v>64</v>
      </c>
      <c r="L104" s="112" t="s">
        <v>65</v>
      </c>
      <c r="M104" s="111" t="s">
        <v>66</v>
      </c>
      <c r="N104" s="198" t="s">
        <v>61</v>
      </c>
      <c r="O104" s="110" t="s">
        <v>62</v>
      </c>
      <c r="P104" s="112" t="s">
        <v>63</v>
      </c>
      <c r="Q104" s="110" t="s">
        <v>64</v>
      </c>
      <c r="R104" s="112" t="s">
        <v>65</v>
      </c>
      <c r="S104" s="111" t="s">
        <v>66</v>
      </c>
    </row>
    <row r="105" spans="1:48" x14ac:dyDescent="0.2">
      <c r="A105" s="38" t="s">
        <v>39</v>
      </c>
      <c r="B105" s="329">
        <f>VLOOKUP(A2,calculs_2020_2021_2022!A4:EN22,97,FALSE )</f>
        <v>20.17626691847655</v>
      </c>
      <c r="C105" s="330">
        <f>VLOOKUP(A2,calculs_2020_2021_2022!A4:EN22,98,FALSE )</f>
        <v>7.302486622599937</v>
      </c>
      <c r="D105" s="330">
        <f>VLOOKUP(A2,calculs_2020_2021_2022!A4:EN22,99,FALSE )</f>
        <v>9.0651558073654392</v>
      </c>
      <c r="E105" s="331">
        <f>VLOOKUP(A2,calculs_2020_2021_2022!A4:EN22,100,FALSE )</f>
        <v>12.621970412338685</v>
      </c>
      <c r="F105" s="331">
        <f>VLOOKUP(A2,calculs_2020_2021_2022!A4:EN22,101,FALSE )</f>
        <v>12.023921938936104</v>
      </c>
      <c r="G105" s="332">
        <f>VLOOKUP(A2,calculs_2020_2021_2022!A4:EN22,102,FALSE )</f>
        <v>38.81019830028329</v>
      </c>
      <c r="H105" s="329">
        <f>VLOOKUP(A2,calculs_2020_2021_2022!A29:EN47,97,FALSE )</f>
        <v>17.460317460317459</v>
      </c>
      <c r="I105" s="330">
        <f>VLOOKUP(A2,calculs_2020_2021_2022!A29:EN47,98,FALSE )</f>
        <v>6.1587301587301591</v>
      </c>
      <c r="J105" s="330">
        <f>VLOOKUP(A2,calculs_2020_2021_2022!A29:EN47,99,FALSE )</f>
        <v>8.5079365079365079</v>
      </c>
      <c r="K105" s="331">
        <f>VLOOKUP(A2,calculs_2020_2021_2022!A29:EN47,100,FALSE )</f>
        <v>13.015873015873018</v>
      </c>
      <c r="L105" s="331">
        <f>VLOOKUP(A2,calculs_2020_2021_2022!A29:EN47,101,FALSE )</f>
        <v>13.079365079365079</v>
      </c>
      <c r="M105" s="332">
        <f>VLOOKUP(A2,calculs_2020_2021_2022!A29:EN47,102,FALSE )</f>
        <v>41.777777777777779</v>
      </c>
      <c r="N105" s="329">
        <f>VLOOKUP(A2,calculs_2020_2021_2022!A54:EN72,97,FALSE )</f>
        <v>16.802252816020026</v>
      </c>
      <c r="O105" s="330">
        <f>VLOOKUP(A2,calculs_2020_2021_2022!A54:EN72,98,FALSE )</f>
        <v>6.1952440550688364</v>
      </c>
      <c r="P105" s="330">
        <f>VLOOKUP(A2,calculs_2020_2021_2022!A54:EN72,99,FALSE )</f>
        <v>9.0425531914893629</v>
      </c>
      <c r="Q105" s="331">
        <f>VLOOKUP(A2,calculs_2020_2021_2022!A54:EN72,100,FALSE )</f>
        <v>11.702127659574469</v>
      </c>
      <c r="R105" s="331">
        <f>VLOOKUP(A2,calculs_2020_2021_2022!A54:EN72,101,FALSE )</f>
        <v>13.32916145181477</v>
      </c>
      <c r="S105" s="332">
        <f>VLOOKUP(A2,calculs_2020_2021_2022!A54:EN72,102,FALSE )</f>
        <v>42.928660826032541</v>
      </c>
    </row>
    <row r="106" spans="1:48" x14ac:dyDescent="0.2">
      <c r="A106" s="39" t="s">
        <v>4</v>
      </c>
      <c r="B106" s="333">
        <f>VLOOKUP(A2,calculs_2020_2021_2022!A4:EN22,103,FALSE )</f>
        <v>34.651329978432784</v>
      </c>
      <c r="C106" s="334">
        <f>VLOOKUP(A2,calculs_2020_2021_2022!A4:EN22,104,FALSE )</f>
        <v>7.7641984184040256</v>
      </c>
      <c r="D106" s="334">
        <f>VLOOKUP(A2,calculs_2020_2021_2022!A4:EN22,105,FALSE )</f>
        <v>8.4112149532710276</v>
      </c>
      <c r="E106" s="335">
        <f>VLOOKUP(A2,calculs_2020_2021_2022!A4:EN22,106,FALSE )</f>
        <v>9.7771387491013666</v>
      </c>
      <c r="F106" s="335">
        <f>VLOOKUP(A2,calculs_2020_2021_2022!A4:EN22,107,FALSE )</f>
        <v>9.7052480230050318</v>
      </c>
      <c r="G106" s="336">
        <f>VLOOKUP(A2,calculs_2020_2021_2022!A4:EN22,108,FALSE )</f>
        <v>29.690869877785765</v>
      </c>
      <c r="H106" s="333">
        <f>VLOOKUP(A2,calculs_2020_2021_2022!A29:EN47,103,FALSE )</f>
        <v>31.254429482636425</v>
      </c>
      <c r="I106" s="334">
        <f>VLOOKUP(A2,calculs_2020_2021_2022!A29:EN47,104,FALSE )</f>
        <v>7.8667611622962443</v>
      </c>
      <c r="J106" s="334">
        <f>VLOOKUP(A2,calculs_2020_2021_2022!A29:EN47,105,FALSE )</f>
        <v>7.7958894401133945</v>
      </c>
      <c r="K106" s="335">
        <f>VLOOKUP(A2,calculs_2020_2021_2022!A29:EN47,106,FALSE )</f>
        <v>9.8511693834160177</v>
      </c>
      <c r="L106" s="335">
        <f>VLOOKUP(A2,calculs_2020_2021_2022!A29:EN47,107,FALSE )</f>
        <v>9.284195605953224</v>
      </c>
      <c r="M106" s="336">
        <f>VLOOKUP(A2,calculs_2020_2021_2022!A29:EN47,108,FALSE )</f>
        <v>33.947554925584697</v>
      </c>
      <c r="N106" s="333">
        <f>VLOOKUP(A2,calculs_2020_2021_2022!A54:EN72,103,FALSE )</f>
        <v>30.323054331864906</v>
      </c>
      <c r="O106" s="334">
        <f>VLOOKUP(A2,calculs_2020_2021_2022!A54:EN72,104,FALSE )</f>
        <v>7.6358296622613802</v>
      </c>
      <c r="P106" s="334">
        <f>VLOOKUP(A2,calculs_2020_2021_2022!A54:EN72,105,FALSE )</f>
        <v>8.1497797356828183</v>
      </c>
      <c r="Q106" s="335">
        <f>VLOOKUP(A2,calculs_2020_2021_2022!A54:EN72,106,FALSE )</f>
        <v>10.499265785609397</v>
      </c>
      <c r="R106" s="335">
        <f>VLOOKUP(A2,calculs_2020_2021_2022!A54:EN72,107,FALSE )</f>
        <v>9.030837004405285</v>
      </c>
      <c r="S106" s="336">
        <f>VLOOKUP(A2,calculs_2020_2021_2022!A54:EN72,108,FALSE )</f>
        <v>34.36123348017621</v>
      </c>
    </row>
    <row r="107" spans="1:48" x14ac:dyDescent="0.2">
      <c r="A107" s="39" t="s">
        <v>44</v>
      </c>
      <c r="B107" s="333">
        <f>VLOOKUP(A2,calculs_2020_2021_2022!A4:EN22,109,FALSE )</f>
        <v>30.652118751585895</v>
      </c>
      <c r="C107" s="334">
        <f>VLOOKUP(A2,calculs_2020_2021_2022!A4:EN22,110,FALSE )</f>
        <v>9.3377315402182184</v>
      </c>
      <c r="D107" s="334">
        <f>VLOOKUP(A2,calculs_2020_2021_2022!A4:EN22,111,FALSE )</f>
        <v>12.306521187515859</v>
      </c>
      <c r="E107" s="335">
        <f>VLOOKUP(A2,calculs_2020_2021_2022!A4:EN22,112,FALSE )</f>
        <v>12.534889621923369</v>
      </c>
      <c r="F107" s="335">
        <f>VLOOKUP(A2,calculs_2020_2021_2022!A4:EN22,113,FALSE )</f>
        <v>9.1601116467901544</v>
      </c>
      <c r="G107" s="336">
        <f>VLOOKUP(A2,calculs_2020_2021_2022!A4:EN22,114,FALSE )</f>
        <v>26.008627251966505</v>
      </c>
      <c r="H107" s="333">
        <f>VLOOKUP(A2,calculs_2020_2021_2022!A29:EN47,109,FALSE )</f>
        <v>27.99799297541395</v>
      </c>
      <c r="I107" s="334">
        <f>VLOOKUP(A2,calculs_2020_2021_2022!A29:EN47,110,FALSE )</f>
        <v>9.3577521324636237</v>
      </c>
      <c r="J107" s="334">
        <f>VLOOKUP(A2,calculs_2020_2021_2022!A29:EN47,111,FALSE )</f>
        <v>11.189162067235324</v>
      </c>
      <c r="K107" s="335">
        <f>VLOOKUP(A2,calculs_2020_2021_2022!A29:EN47,112,FALSE )</f>
        <v>12.318113396889112</v>
      </c>
      <c r="L107" s="335">
        <f>VLOOKUP(A2,calculs_2020_2021_2022!A29:EN47,113,FALSE )</f>
        <v>10.612142498745609</v>
      </c>
      <c r="M107" s="336">
        <f>VLOOKUP(A2,calculs_2020_2021_2022!A29:EN47,114,FALSE )</f>
        <v>28.524836929252384</v>
      </c>
      <c r="N107" s="333">
        <f>VLOOKUP(A2,calculs_2020_2021_2022!A54:EN72,109,FALSE )</f>
        <v>28.210678210678207</v>
      </c>
      <c r="O107" s="334">
        <f>VLOOKUP(A2,calculs_2020_2021_2022!A54:EN72,110,FALSE )</f>
        <v>9.1871091871091863</v>
      </c>
      <c r="P107" s="334">
        <f>VLOOKUP(A2,calculs_2020_2021_2022!A54:EN72,111,FALSE )</f>
        <v>11.038961038961039</v>
      </c>
      <c r="Q107" s="335">
        <f>VLOOKUP(A2,calculs_2020_2021_2022!A54:EN72,112,FALSE )</f>
        <v>12.746512746512748</v>
      </c>
      <c r="R107" s="335">
        <f>VLOOKUP(A2,calculs_2020_2021_2022!A54:EN72,113,FALSE )</f>
        <v>10.197210197210199</v>
      </c>
      <c r="S107" s="336">
        <f>VLOOKUP(A2,calculs_2020_2021_2022!A54:EN72,114,FALSE )</f>
        <v>28.619528619528616</v>
      </c>
    </row>
    <row r="108" spans="1:48" x14ac:dyDescent="0.2">
      <c r="A108" s="39" t="s">
        <v>5</v>
      </c>
      <c r="B108" s="333">
        <f>VLOOKUP(A2,calculs_2020_2021_2022!A4:EN22,115,FALSE )</f>
        <v>48.222222222222221</v>
      </c>
      <c r="C108" s="334">
        <f>VLOOKUP(A2,calculs_2020_2021_2022!A4:EN22,116,FALSE )</f>
        <v>12.222222222222221</v>
      </c>
      <c r="D108" s="334">
        <f>VLOOKUP(A2,calculs_2020_2021_2022!A4:EN22,117,FALSE )</f>
        <v>14.444444444444443</v>
      </c>
      <c r="E108" s="335">
        <f>VLOOKUP(A2,calculs_2020_2021_2022!A4:EN22,118,FALSE )</f>
        <v>9.5555555555555554</v>
      </c>
      <c r="F108" s="335">
        <f>VLOOKUP(A2,calculs_2020_2021_2022!A4:EN22,119,FALSE )</f>
        <v>4.8888888888888893</v>
      </c>
      <c r="G108" s="336">
        <f>VLOOKUP(A2,calculs_2020_2021_2022!A4:EN22,120,FALSE )</f>
        <v>10.666666666666668</v>
      </c>
      <c r="H108" s="333">
        <f>VLOOKUP(A2,calculs_2020_2021_2022!A29:EN47,115,FALSE )</f>
        <v>47.268907563025209</v>
      </c>
      <c r="I108" s="334">
        <f>VLOOKUP(A2,calculs_2020_2021_2022!A29:EN47,116,FALSE )</f>
        <v>12.815126050420167</v>
      </c>
      <c r="J108" s="334">
        <f>VLOOKUP(A2,calculs_2020_2021_2022!A29:EN47,117,FALSE )</f>
        <v>14.705882352941178</v>
      </c>
      <c r="K108" s="335">
        <f>VLOOKUP(A2,calculs_2020_2021_2022!A29:EN47,118,FALSE )</f>
        <v>7.9831932773109235</v>
      </c>
      <c r="L108" s="335">
        <f>VLOOKUP(A2,calculs_2020_2021_2022!A29:EN47,119,FALSE )</f>
        <v>6.7226890756302522</v>
      </c>
      <c r="M108" s="336">
        <f>VLOOKUP(A2,calculs_2020_2021_2022!A29:EN47,120,FALSE )</f>
        <v>10.504201680672269</v>
      </c>
      <c r="N108" s="333">
        <f>VLOOKUP(A2,calculs_2020_2021_2022!A54:EN72,115,FALSE )</f>
        <v>42.454728370221332</v>
      </c>
      <c r="O108" s="334">
        <f>VLOOKUP(A2,calculs_2020_2021_2022!A54:EN72,116,FALSE )</f>
        <v>13.883299798792756</v>
      </c>
      <c r="P108" s="334">
        <f>VLOOKUP(A2,calculs_2020_2021_2022!A54:EN72,117,FALSE )</f>
        <v>15.090543259557343</v>
      </c>
      <c r="Q108" s="335">
        <f>VLOOKUP(A2,calculs_2020_2021_2022!A54:EN72,118,FALSE )</f>
        <v>9.2555331991951704</v>
      </c>
      <c r="R108" s="335">
        <f>VLOOKUP(A2,calculs_2020_2021_2022!A54:EN72,119,FALSE )</f>
        <v>6.2374245472837018</v>
      </c>
      <c r="S108" s="336">
        <f>VLOOKUP(A2,calculs_2020_2021_2022!A54:EN72,120,FALSE )</f>
        <v>13.078470824949697</v>
      </c>
    </row>
    <row r="109" spans="1:48" x14ac:dyDescent="0.2">
      <c r="A109" s="39" t="s">
        <v>37</v>
      </c>
      <c r="B109" s="333">
        <f>VLOOKUP(A2,calculs_2020_2021_2022!A4:EN22,121,FALSE )</f>
        <v>35.866983372921609</v>
      </c>
      <c r="C109" s="334">
        <f>VLOOKUP(A2,calculs_2020_2021_2022!A4:EN22,122,FALSE )</f>
        <v>6.4133016627078394</v>
      </c>
      <c r="D109" s="334">
        <f>VLOOKUP(A2,calculs_2020_2021_2022!A4:EN22,123,FALSE )</f>
        <v>12.114014251781473</v>
      </c>
      <c r="E109" s="335">
        <f>VLOOKUP(A2,calculs_2020_2021_2022!A4:EN22,124,FALSE )</f>
        <v>10.926365795724466</v>
      </c>
      <c r="F109" s="335">
        <f>VLOOKUP(A2,calculs_2020_2021_2022!A4:EN22,125,FALSE )</f>
        <v>8.7885985748218527</v>
      </c>
      <c r="G109" s="336">
        <f>VLOOKUP(A2,calculs_2020_2021_2022!A4:EN22,126,FALSE )</f>
        <v>25.890736342042754</v>
      </c>
      <c r="H109" s="333">
        <f>VLOOKUP(A2,calculs_2020_2021_2022!A29:EN47,121,FALSE )</f>
        <v>30.412371134020617</v>
      </c>
      <c r="I109" s="334">
        <f>VLOOKUP(A2,calculs_2020_2021_2022!A29:EN47,122,FALSE )</f>
        <v>7.9896907216494837</v>
      </c>
      <c r="J109" s="334">
        <f>VLOOKUP(A2,calculs_2020_2021_2022!A29:EN47,123,FALSE )</f>
        <v>13.144329896907218</v>
      </c>
      <c r="K109" s="335">
        <f>VLOOKUP(A2,calculs_2020_2021_2022!A29:EN47,124,FALSE )</f>
        <v>12.886597938144329</v>
      </c>
      <c r="L109" s="335">
        <f>VLOOKUP(A2,calculs_2020_2021_2022!A29:EN47,125,FALSE )</f>
        <v>10.051546391752577</v>
      </c>
      <c r="M109" s="336">
        <f>VLOOKUP(A2,calculs_2020_2021_2022!A29:EN47,126,FALSE )</f>
        <v>25.515463917525771</v>
      </c>
      <c r="N109" s="333">
        <f>VLOOKUP(A2,calculs_2020_2021_2022!A54:EN72,121,FALSE )</f>
        <v>28.850855745721272</v>
      </c>
      <c r="O109" s="334">
        <f>VLOOKUP(A2,calculs_2020_2021_2022!A54:EN72,122,FALSE )</f>
        <v>10.757946210268948</v>
      </c>
      <c r="P109" s="334">
        <f>VLOOKUP(A2,calculs_2020_2021_2022!A54:EN72,123,FALSE )</f>
        <v>11.98044009779951</v>
      </c>
      <c r="Q109" s="335">
        <f>VLOOKUP(A2,calculs_2020_2021_2022!A54:EN72,124,FALSE )</f>
        <v>9.2909535452322736</v>
      </c>
      <c r="R109" s="335">
        <f>VLOOKUP(A2,calculs_2020_2021_2022!A54:EN72,125,FALSE )</f>
        <v>11.246943765281173</v>
      </c>
      <c r="S109" s="336">
        <f>VLOOKUP(A2,calculs_2020_2021_2022!A54:EN72,126,FALSE )</f>
        <v>27.872860635696821</v>
      </c>
    </row>
    <row r="110" spans="1:48" ht="15" customHeight="1" x14ac:dyDescent="0.2">
      <c r="A110" s="39" t="s">
        <v>38</v>
      </c>
      <c r="B110" s="333">
        <f>VLOOKUP(A2,calculs_2020_2021_2022!A4:EN22,127,FALSE )</f>
        <v>38.484251968503933</v>
      </c>
      <c r="C110" s="334">
        <f>VLOOKUP(A2,calculs_2020_2021_2022!A4:EN22,128,FALSE )</f>
        <v>12.352362204724409</v>
      </c>
      <c r="D110" s="334">
        <f>VLOOKUP(A2,calculs_2020_2021_2022!A4:EN22,129,FALSE )</f>
        <v>11.072834645669291</v>
      </c>
      <c r="E110" s="335">
        <f>VLOOKUP(A2,calculs_2020_2021_2022!A4:EN22,130,FALSE )</f>
        <v>9.8917322834645667</v>
      </c>
      <c r="F110" s="335">
        <f>VLOOKUP(A2,calculs_2020_2021_2022!A4:EN22,131,FALSE )</f>
        <v>9.1043307086614185</v>
      </c>
      <c r="G110" s="336">
        <f>VLOOKUP(A2,calculs_2020_2021_2022!A4:EN22,132,FALSE )</f>
        <v>19.094488188976378</v>
      </c>
      <c r="H110" s="333">
        <f>VLOOKUP(A2,calculs_2020_2021_2022!A29:EN47,127,FALSE )</f>
        <v>35.014836795252222</v>
      </c>
      <c r="I110" s="334">
        <f>VLOOKUP(A2,calculs_2020_2021_2022!A29:EN47,128,FALSE )</f>
        <v>11.275964391691394</v>
      </c>
      <c r="J110" s="334">
        <f>VLOOKUP(A2,calculs_2020_2021_2022!A29:EN47,129,FALSE )</f>
        <v>12.21562809099901</v>
      </c>
      <c r="K110" s="335">
        <f>VLOOKUP(A2,calculs_2020_2021_2022!A29:EN47,130,FALSE )</f>
        <v>11.424332344213649</v>
      </c>
      <c r="L110" s="335">
        <f>VLOOKUP(A2,calculs_2020_2021_2022!A29:EN47,131,FALSE )</f>
        <v>7.8140454995054398</v>
      </c>
      <c r="M110" s="336">
        <f>VLOOKUP(A2,calculs_2020_2021_2022!A29:EN47,132,FALSE )</f>
        <v>22.255192878338278</v>
      </c>
      <c r="N110" s="333">
        <f>VLOOKUP(A2,calculs_2020_2021_2022!A54:EN72,127,FALSE )</f>
        <v>34.648288973384027</v>
      </c>
      <c r="O110" s="334">
        <f>VLOOKUP(A2,calculs_2020_2021_2022!A54:EN72,128,FALSE )</f>
        <v>11.121673003802281</v>
      </c>
      <c r="P110" s="334">
        <f>VLOOKUP(A2,calculs_2020_2021_2022!A54:EN72,129,FALSE )</f>
        <v>12.167300380228136</v>
      </c>
      <c r="Q110" s="335">
        <f>VLOOKUP(A2,calculs_2020_2021_2022!A54:EN72,130,FALSE )</f>
        <v>10.408745247148289</v>
      </c>
      <c r="R110" s="335">
        <f>VLOOKUP(A2,calculs_2020_2021_2022!A54:EN72,131,FALSE )</f>
        <v>8.4125475285171092</v>
      </c>
      <c r="S110" s="336">
        <f>VLOOKUP(A2,calculs_2020_2021_2022!A54:EN72,132,FALSE )</f>
        <v>23.241444866920151</v>
      </c>
    </row>
    <row r="111" spans="1:48" x14ac:dyDescent="0.2">
      <c r="A111" s="39" t="s">
        <v>98</v>
      </c>
      <c r="B111" s="333">
        <f>VLOOKUP(A2,calculs_2020_2021_2022!A4:EN22,133,FALSE )</f>
        <v>17.17534410532615</v>
      </c>
      <c r="C111" s="334">
        <f>VLOOKUP(A2,calculs_2020_2021_2022!A4:EN22,134,FALSE )</f>
        <v>8.6175942549371634</v>
      </c>
      <c r="D111" s="334">
        <f>VLOOKUP(A2,calculs_2020_2021_2022!A4:EN22,135,FALSE )</f>
        <v>12.148414123279473</v>
      </c>
      <c r="E111" s="335">
        <f>VLOOKUP(A2,calculs_2020_2021_2022!A4:EN22,136,FALSE )</f>
        <v>11.370436864153202</v>
      </c>
      <c r="F111" s="335">
        <f>VLOOKUP(A2,calculs_2020_2021_2022!A4:EN22,137,FALSE )</f>
        <v>11.430281268701377</v>
      </c>
      <c r="G111" s="336">
        <f>VLOOKUP(A2,calculs_2020_2021_2022!A4:EN22,138,FALSE )</f>
        <v>39.257929383602637</v>
      </c>
      <c r="H111" s="333">
        <f>VLOOKUP(A2,calculs_2020_2021_2022!A29:EN47,133,FALSE )</f>
        <v>15.268557634278817</v>
      </c>
      <c r="I111" s="334">
        <f>VLOOKUP(A2,calculs_2020_2021_2022!A29:EN47,134,FALSE )</f>
        <v>7.1816535908267944</v>
      </c>
      <c r="J111" s="334">
        <f>VLOOKUP(A2,calculs_2020_2021_2022!A29:EN47,135,FALSE )</f>
        <v>10.8026554013277</v>
      </c>
      <c r="K111" s="335">
        <f>VLOOKUP(A2,calculs_2020_2021_2022!A29:EN47,136,FALSE )</f>
        <v>12.673506336753167</v>
      </c>
      <c r="L111" s="335">
        <f>VLOOKUP(A2,calculs_2020_2021_2022!A29:EN47,137,FALSE )</f>
        <v>13.458056729028364</v>
      </c>
      <c r="M111" s="336">
        <f>VLOOKUP(A2,calculs_2020_2021_2022!A29:EN47,138,FALSE )</f>
        <v>40.615570307785156</v>
      </c>
      <c r="N111" s="333">
        <f>VLOOKUP(A2,calculs_2020_2021_2022!A54:EN72,133,FALSE )</f>
        <v>14.513165952235148</v>
      </c>
      <c r="O111" s="334">
        <f>VLOOKUP(A2,calculs_2020_2021_2022!A54:EN72,134,FALSE )</f>
        <v>6.8585425597060627</v>
      </c>
      <c r="P111" s="334">
        <f>VLOOKUP(A2,calculs_2020_2021_2022!A54:EN72,135,FALSE )</f>
        <v>9.9203919167176977</v>
      </c>
      <c r="Q111" s="335">
        <f>VLOOKUP(A2,calculs_2020_2021_2022!A54:EN72,136,FALSE )</f>
        <v>11.818738518064912</v>
      </c>
      <c r="R111" s="335">
        <f>VLOOKUP(A2,calculs_2020_2021_2022!A54:EN72,137,FALSE )</f>
        <v>12.859767299448869</v>
      </c>
      <c r="S111" s="336">
        <f>VLOOKUP(A2,calculs_2020_2021_2022!A54:EN72,138,FALSE )</f>
        <v>44.029393753827314</v>
      </c>
    </row>
    <row r="112" spans="1:48" ht="16.5" customHeight="1" thickBot="1" x14ac:dyDescent="0.25">
      <c r="A112" s="202" t="s">
        <v>99</v>
      </c>
      <c r="B112" s="333">
        <f>VLOOKUP(A2,calculs_2020_2021_2022!A4:EN22,139,FALSE )</f>
        <v>43.185840707964601</v>
      </c>
      <c r="C112" s="334">
        <f>VLOOKUP(A2,calculs_2020_2021_2022!A4:EN22,140,FALSE )</f>
        <v>9.557522123893806</v>
      </c>
      <c r="D112" s="334">
        <f>VLOOKUP(A2,calculs_2020_2021_2022!A4:EN22,141,FALSE )</f>
        <v>9.0265486725663724</v>
      </c>
      <c r="E112" s="335">
        <f>VLOOKUP(A2,calculs_2020_2021_2022!A4:EN22,142,FALSE )</f>
        <v>8.6725663716814161</v>
      </c>
      <c r="F112" s="335">
        <f>VLOOKUP(A2,calculs_2020_2021_2022!A4:EN22,143,FALSE )</f>
        <v>7.4336283185840708</v>
      </c>
      <c r="G112" s="336">
        <f>VLOOKUP(A2,calculs_2020_2021_2022!A4:EN22,144,FALSE )</f>
        <v>22.123893805309734</v>
      </c>
      <c r="H112" s="333">
        <f>VLOOKUP(A2,calculs_2020_2021_2022!A29:EN47,139,FALSE )</f>
        <v>38.070175438596493</v>
      </c>
      <c r="I112" s="334">
        <f>VLOOKUP(A2,calculs_2020_2021_2022!A29:EN47,140,FALSE )</f>
        <v>8.0701754385964914</v>
      </c>
      <c r="J112" s="334">
        <f>VLOOKUP(A2,calculs_2020_2021_2022!A29:EN47,141,FALSE )</f>
        <v>8.9473684210526319</v>
      </c>
      <c r="K112" s="335">
        <f>VLOOKUP(A2,calculs_2020_2021_2022!A29:EN47,142,FALSE )</f>
        <v>9.8245614035087723</v>
      </c>
      <c r="L112" s="335">
        <f>VLOOKUP(A2,calculs_2020_2021_2022!A29:EN47,143,FALSE )</f>
        <v>6.140350877192982</v>
      </c>
      <c r="M112" s="336">
        <f>VLOOKUP(A2,calculs_2020_2021_2022!A29:EN47,144,FALSE )</f>
        <v>28.947368421052634</v>
      </c>
      <c r="N112" s="333">
        <f>VLOOKUP(A2,calculs_2020_2021_2022!A54:EN72,139,FALSE )</f>
        <v>37.228714524207014</v>
      </c>
      <c r="O112" s="334">
        <f>VLOOKUP(A2,calculs_2020_2021_2022!A54:EN72,140,FALSE )</f>
        <v>9.348914858096828</v>
      </c>
      <c r="P112" s="334">
        <f>VLOOKUP(A2,calculs_2020_2021_2022!A54:EN72,141,FALSE )</f>
        <v>8.3472454090150254</v>
      </c>
      <c r="Q112" s="335">
        <f>VLOOKUP(A2,calculs_2020_2021_2022!A54:EN72,142,FALSE )</f>
        <v>10.183639398998331</v>
      </c>
      <c r="R112" s="335">
        <f>VLOOKUP(A2,calculs_2020_2021_2022!A54:EN72,143,FALSE )</f>
        <v>7.1786310517529222</v>
      </c>
      <c r="S112" s="336">
        <f>VLOOKUP(A2,calculs_2020_2021_2022!A54:EN72,144,FALSE )</f>
        <v>27.712854757929883</v>
      </c>
    </row>
    <row r="113" spans="1:48" ht="13.5" thickBot="1" x14ac:dyDescent="0.25">
      <c r="A113" s="139" t="s">
        <v>84</v>
      </c>
      <c r="B113" s="337">
        <f>$B$36</f>
        <v>29.393297802438489</v>
      </c>
      <c r="C113" s="338">
        <f>$B$37</f>
        <v>9.0822807914141777</v>
      </c>
      <c r="D113" s="338">
        <f>$B$38</f>
        <v>10.863692779440754</v>
      </c>
      <c r="E113" s="339">
        <f>$B$39</f>
        <v>11.425859677301599</v>
      </c>
      <c r="F113" s="339">
        <f>$B$40</f>
        <v>9.9218807038037529</v>
      </c>
      <c r="G113" s="340">
        <f>$B$41</f>
        <v>29.312988245601229</v>
      </c>
      <c r="H113" s="337">
        <f>$C$36</f>
        <v>26.558739881863925</v>
      </c>
      <c r="I113" s="338">
        <f>$C$37</f>
        <v>8.5174651790271998</v>
      </c>
      <c r="J113" s="338">
        <f>$C$38</f>
        <v>10.391599212426165</v>
      </c>
      <c r="K113" s="339">
        <f>$C$39</f>
        <v>11.871946328301613</v>
      </c>
      <c r="L113" s="339">
        <f>$C$40</f>
        <v>10.646831473784001</v>
      </c>
      <c r="M113" s="340">
        <f>$C$41</f>
        <v>32.0134179245971</v>
      </c>
      <c r="N113" s="337">
        <f>$D$36</f>
        <v>26.068985176738884</v>
      </c>
      <c r="O113" s="338">
        <f>$D$37</f>
        <v>8.5946408209806169</v>
      </c>
      <c r="P113" s="338">
        <f>$D$38</f>
        <v>10.433295324971494</v>
      </c>
      <c r="Q113" s="339">
        <f>$D$39</f>
        <v>11.488027366020525</v>
      </c>
      <c r="R113" s="339">
        <f>$D$40</f>
        <v>10.625712656784494</v>
      </c>
      <c r="S113" s="340">
        <f>$D$41</f>
        <v>32.789338654503993</v>
      </c>
    </row>
    <row r="114" spans="1:48" s="99" customFormat="1" ht="12.75" customHeight="1" x14ac:dyDescent="0.2">
      <c r="A114" s="387" t="s">
        <v>67</v>
      </c>
      <c r="B114" s="388"/>
      <c r="C114" s="388"/>
      <c r="D114" s="388"/>
      <c r="E114" s="388"/>
      <c r="F114" s="388"/>
      <c r="G114" s="388"/>
      <c r="H114" s="388"/>
      <c r="I114" s="388"/>
      <c r="J114" s="388"/>
      <c r="K114" s="388"/>
      <c r="L114" s="388"/>
      <c r="M114" s="388"/>
      <c r="N114" s="388"/>
      <c r="O114" s="388"/>
      <c r="P114" s="388"/>
      <c r="Q114" s="388"/>
      <c r="R114" s="388"/>
      <c r="S114" s="389"/>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row>
    <row r="115" spans="1:48" s="99" customFormat="1" x14ac:dyDescent="0.2">
      <c r="A115" s="390" t="s">
        <v>93</v>
      </c>
      <c r="B115" s="353"/>
      <c r="C115" s="353"/>
      <c r="D115" s="353"/>
      <c r="E115" s="353"/>
      <c r="F115" s="353"/>
      <c r="G115" s="353"/>
      <c r="H115" s="353"/>
      <c r="I115" s="353"/>
      <c r="J115" s="353"/>
      <c r="K115" s="353"/>
      <c r="L115" s="353"/>
      <c r="M115" s="353"/>
      <c r="N115" s="353"/>
      <c r="O115" s="353"/>
      <c r="P115" s="353"/>
      <c r="Q115" s="353"/>
      <c r="R115" s="353"/>
      <c r="S115" s="391"/>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row>
    <row r="116" spans="1:48" s="99" customFormat="1" ht="12.75" customHeight="1" x14ac:dyDescent="0.2">
      <c r="A116" s="390" t="s">
        <v>96</v>
      </c>
      <c r="B116" s="353"/>
      <c r="C116" s="353"/>
      <c r="D116" s="353"/>
      <c r="E116" s="353"/>
      <c r="F116" s="353"/>
      <c r="G116" s="353"/>
      <c r="H116" s="353"/>
      <c r="I116" s="353"/>
      <c r="J116" s="353"/>
      <c r="K116" s="353"/>
      <c r="L116" s="353"/>
      <c r="M116" s="353"/>
      <c r="N116" s="353"/>
      <c r="O116" s="353"/>
      <c r="P116" s="353"/>
      <c r="Q116" s="353"/>
      <c r="R116" s="353"/>
      <c r="S116" s="391"/>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row>
    <row r="117" spans="1:48" ht="12.75" customHeight="1" x14ac:dyDescent="0.2">
      <c r="A117" s="390" t="s">
        <v>97</v>
      </c>
      <c r="B117" s="353"/>
      <c r="C117" s="353"/>
      <c r="D117" s="353"/>
      <c r="E117" s="353"/>
      <c r="F117" s="353"/>
      <c r="G117" s="353"/>
      <c r="H117" s="353"/>
      <c r="I117" s="353"/>
      <c r="J117" s="353"/>
      <c r="K117" s="353"/>
      <c r="L117" s="353"/>
      <c r="M117" s="353"/>
      <c r="N117" s="353"/>
      <c r="O117" s="353"/>
      <c r="P117" s="353"/>
      <c r="Q117" s="353"/>
      <c r="R117" s="353"/>
      <c r="S117" s="391"/>
    </row>
    <row r="118" spans="1:48" s="99" customFormat="1" ht="12.75" customHeight="1" x14ac:dyDescent="0.2">
      <c r="A118" s="390" t="s">
        <v>89</v>
      </c>
      <c r="B118" s="353"/>
      <c r="C118" s="353"/>
      <c r="D118" s="353"/>
      <c r="E118" s="353"/>
      <c r="F118" s="353"/>
      <c r="G118" s="353"/>
      <c r="H118" s="353"/>
      <c r="I118" s="353"/>
      <c r="J118" s="353"/>
      <c r="K118" s="353"/>
      <c r="L118" s="353"/>
      <c r="M118" s="353"/>
      <c r="N118" s="353"/>
      <c r="O118" s="353"/>
      <c r="P118" s="353"/>
      <c r="Q118" s="353"/>
      <c r="R118" s="353"/>
      <c r="S118" s="391"/>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row>
    <row r="119" spans="1:48" s="99" customFormat="1" ht="12.75" customHeight="1" x14ac:dyDescent="0.2">
      <c r="A119" s="401" t="s">
        <v>133</v>
      </c>
      <c r="B119" s="402"/>
      <c r="C119" s="402"/>
      <c r="D119" s="402"/>
      <c r="E119" s="402"/>
      <c r="F119" s="402"/>
      <c r="G119" s="402"/>
      <c r="H119" s="402"/>
      <c r="I119" s="402"/>
      <c r="J119" s="402"/>
      <c r="K119" s="402"/>
      <c r="L119" s="402"/>
      <c r="M119" s="402"/>
      <c r="N119" s="402"/>
      <c r="O119" s="402"/>
      <c r="P119" s="402"/>
      <c r="Q119" s="402"/>
      <c r="R119" s="402"/>
      <c r="S119" s="403"/>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row>
    <row r="120" spans="1:48" x14ac:dyDescent="0.2">
      <c r="A120" s="21"/>
      <c r="B120" s="21"/>
      <c r="C120" s="21"/>
      <c r="D120" s="21"/>
      <c r="E120" s="21"/>
      <c r="F120" s="21"/>
      <c r="G120" s="21"/>
      <c r="H120" s="21"/>
      <c r="I120" s="21"/>
      <c r="J120" s="21"/>
      <c r="K120" s="21"/>
    </row>
    <row r="121" spans="1:48" ht="12.75" customHeight="1" x14ac:dyDescent="0.2">
      <c r="A121" s="14"/>
      <c r="B121" s="14"/>
      <c r="C121" s="14"/>
      <c r="D121" s="14"/>
      <c r="E121" s="14"/>
      <c r="F121" s="14"/>
      <c r="G121" s="14"/>
      <c r="H121" s="14"/>
      <c r="I121" s="14"/>
      <c r="J121" s="21"/>
      <c r="K121" s="21"/>
    </row>
    <row r="122" spans="1:48" x14ac:dyDescent="0.2">
      <c r="A122" s="19"/>
      <c r="B122" s="19"/>
      <c r="C122" s="19"/>
      <c r="D122" s="19"/>
      <c r="E122" s="19"/>
      <c r="F122" s="19"/>
      <c r="G122" s="19"/>
      <c r="H122" s="19"/>
      <c r="I122" s="19"/>
      <c r="J122" s="19"/>
      <c r="K122" s="19"/>
    </row>
    <row r="123" spans="1:48" x14ac:dyDescent="0.2">
      <c r="A123" s="19"/>
      <c r="B123" s="19"/>
      <c r="C123" s="19"/>
      <c r="D123" s="19"/>
      <c r="E123" s="19"/>
      <c r="F123" s="19"/>
      <c r="G123" s="19"/>
      <c r="H123" s="19"/>
      <c r="I123" s="19"/>
      <c r="J123" s="19"/>
      <c r="K123" s="19"/>
    </row>
    <row r="124" spans="1:48" x14ac:dyDescent="0.2">
      <c r="A124" s="19"/>
      <c r="B124" s="19"/>
      <c r="C124" s="19"/>
      <c r="D124" s="19"/>
      <c r="E124" s="19"/>
      <c r="F124" s="19"/>
      <c r="G124" s="19"/>
      <c r="H124" s="25"/>
      <c r="I124" s="25"/>
      <c r="J124" s="19"/>
      <c r="K124" s="19"/>
    </row>
    <row r="125" spans="1:48" x14ac:dyDescent="0.2">
      <c r="A125" s="19"/>
      <c r="B125" s="19"/>
      <c r="C125" s="19"/>
      <c r="D125" s="19"/>
      <c r="E125" s="19"/>
      <c r="F125" s="19"/>
      <c r="G125" s="19"/>
      <c r="H125" s="19"/>
      <c r="I125" s="19"/>
      <c r="J125" s="19"/>
      <c r="K125" s="19"/>
    </row>
    <row r="126" spans="1:48" s="19" customFormat="1" x14ac:dyDescent="0.2"/>
    <row r="127" spans="1:48" s="19" customFormat="1" x14ac:dyDescent="0.2"/>
    <row r="128" spans="1:48" s="19" customFormat="1" x14ac:dyDescent="0.2"/>
    <row r="129" s="19" customFormat="1" x14ac:dyDescent="0.2"/>
    <row r="130" s="19" customFormat="1" x14ac:dyDescent="0.2"/>
    <row r="131" s="19" customFormat="1" x14ac:dyDescent="0.2"/>
    <row r="132" s="19" customFormat="1" x14ac:dyDescent="0.2"/>
    <row r="133" s="19" customFormat="1" x14ac:dyDescent="0.2"/>
    <row r="134" s="19" customFormat="1" x14ac:dyDescent="0.2"/>
    <row r="135" s="19" customFormat="1" x14ac:dyDescent="0.2"/>
    <row r="136" s="19" customFormat="1" x14ac:dyDescent="0.2"/>
    <row r="137" s="19" customFormat="1" x14ac:dyDescent="0.2"/>
    <row r="138" s="19" customFormat="1" x14ac:dyDescent="0.2"/>
    <row r="139" s="19" customFormat="1" x14ac:dyDescent="0.2"/>
    <row r="140" s="19" customFormat="1" x14ac:dyDescent="0.2"/>
    <row r="141" s="19" customFormat="1" x14ac:dyDescent="0.2"/>
    <row r="142" s="19" customFormat="1" x14ac:dyDescent="0.2"/>
    <row r="143" s="19" customFormat="1" x14ac:dyDescent="0.2"/>
    <row r="144" s="19" customFormat="1" x14ac:dyDescent="0.2"/>
    <row r="145" s="19" customFormat="1" x14ac:dyDescent="0.2"/>
    <row r="146" s="19" customFormat="1" x14ac:dyDescent="0.2"/>
    <row r="147" s="19" customFormat="1" x14ac:dyDescent="0.2"/>
    <row r="148" s="19" customFormat="1" x14ac:dyDescent="0.2"/>
    <row r="149" s="19" customFormat="1" x14ac:dyDescent="0.2"/>
    <row r="150" s="19" customFormat="1" x14ac:dyDescent="0.2"/>
    <row r="151" s="19" customFormat="1" x14ac:dyDescent="0.2"/>
    <row r="152" s="19" customFormat="1" x14ac:dyDescent="0.2"/>
    <row r="153" s="19" customFormat="1" x14ac:dyDescent="0.2"/>
    <row r="154" s="19" customFormat="1" x14ac:dyDescent="0.2"/>
    <row r="155" s="19" customFormat="1" x14ac:dyDescent="0.2"/>
    <row r="156" s="19" customFormat="1" x14ac:dyDescent="0.2"/>
    <row r="157" s="19" customFormat="1" x14ac:dyDescent="0.2"/>
    <row r="158" s="19" customFormat="1" x14ac:dyDescent="0.2"/>
    <row r="159" s="19" customFormat="1" x14ac:dyDescent="0.2"/>
    <row r="160" s="19" customFormat="1" x14ac:dyDescent="0.2"/>
    <row r="161" s="19" customFormat="1" x14ac:dyDescent="0.2"/>
    <row r="162" s="19" customFormat="1" x14ac:dyDescent="0.2"/>
    <row r="163" s="19" customFormat="1" x14ac:dyDescent="0.2"/>
    <row r="164" s="19" customFormat="1" x14ac:dyDescent="0.2"/>
    <row r="165" s="19" customFormat="1" x14ac:dyDescent="0.2"/>
    <row r="166" s="19" customFormat="1" x14ac:dyDescent="0.2"/>
    <row r="167" s="19" customFormat="1" x14ac:dyDescent="0.2"/>
    <row r="168" s="19" customFormat="1" x14ac:dyDescent="0.2"/>
    <row r="169" s="19" customFormat="1" x14ac:dyDescent="0.2"/>
    <row r="170" s="19" customFormat="1" x14ac:dyDescent="0.2"/>
    <row r="171" s="19" customFormat="1" x14ac:dyDescent="0.2"/>
    <row r="172" s="19" customFormat="1" x14ac:dyDescent="0.2"/>
    <row r="173" s="19" customFormat="1" x14ac:dyDescent="0.2"/>
    <row r="174" s="19" customFormat="1" x14ac:dyDescent="0.2"/>
    <row r="175" s="19" customFormat="1" x14ac:dyDescent="0.2"/>
    <row r="176" s="19" customFormat="1" x14ac:dyDescent="0.2"/>
    <row r="177" s="19" customFormat="1" x14ac:dyDescent="0.2"/>
    <row r="178" s="19" customFormat="1" x14ac:dyDescent="0.2"/>
    <row r="179" s="19" customFormat="1" x14ac:dyDescent="0.2"/>
    <row r="180" s="19" customFormat="1" x14ac:dyDescent="0.2"/>
    <row r="181" s="19" customFormat="1" x14ac:dyDescent="0.2"/>
    <row r="182" s="19" customFormat="1" x14ac:dyDescent="0.2"/>
    <row r="183" s="19" customFormat="1" x14ac:dyDescent="0.2"/>
    <row r="184" s="19" customFormat="1" x14ac:dyDescent="0.2"/>
    <row r="185" s="19" customFormat="1" x14ac:dyDescent="0.2"/>
    <row r="186" s="19" customFormat="1" x14ac:dyDescent="0.2"/>
    <row r="187" s="19" customFormat="1" x14ac:dyDescent="0.2"/>
    <row r="188" s="19" customFormat="1" x14ac:dyDescent="0.2"/>
    <row r="189" s="19" customFormat="1" x14ac:dyDescent="0.2"/>
    <row r="190" s="19" customFormat="1" x14ac:dyDescent="0.2"/>
    <row r="191" s="19" customFormat="1" x14ac:dyDescent="0.2"/>
    <row r="192" s="19" customFormat="1" x14ac:dyDescent="0.2"/>
    <row r="193" s="19" customFormat="1" x14ac:dyDescent="0.2"/>
    <row r="194" s="19" customFormat="1" x14ac:dyDescent="0.2"/>
    <row r="195" s="19" customFormat="1" x14ac:dyDescent="0.2"/>
    <row r="196" s="19" customFormat="1" x14ac:dyDescent="0.2"/>
    <row r="197" s="19" customFormat="1" x14ac:dyDescent="0.2"/>
    <row r="198" s="19" customFormat="1" x14ac:dyDescent="0.2"/>
    <row r="199" s="19" customFormat="1" x14ac:dyDescent="0.2"/>
    <row r="200" s="19" customFormat="1" x14ac:dyDescent="0.2"/>
    <row r="201" s="19" customFormat="1" x14ac:dyDescent="0.2"/>
    <row r="202" s="19" customFormat="1" x14ac:dyDescent="0.2"/>
    <row r="203" s="19" customFormat="1" x14ac:dyDescent="0.2"/>
    <row r="204" s="19" customFormat="1" x14ac:dyDescent="0.2"/>
    <row r="205" s="19" customFormat="1" x14ac:dyDescent="0.2"/>
    <row r="206" s="19" customFormat="1" x14ac:dyDescent="0.2"/>
    <row r="207" s="19" customFormat="1" x14ac:dyDescent="0.2"/>
    <row r="208" s="19" customFormat="1" x14ac:dyDescent="0.2"/>
    <row r="209" s="19" customFormat="1" x14ac:dyDescent="0.2"/>
    <row r="210" s="19" customFormat="1" x14ac:dyDescent="0.2"/>
    <row r="211" s="19" customFormat="1" x14ac:dyDescent="0.2"/>
    <row r="212" s="19" customFormat="1" x14ac:dyDescent="0.2"/>
    <row r="213" s="19" customFormat="1" x14ac:dyDescent="0.2"/>
    <row r="214" s="19" customFormat="1" x14ac:dyDescent="0.2"/>
    <row r="215" s="19" customFormat="1" x14ac:dyDescent="0.2"/>
    <row r="216" s="19" customFormat="1" x14ac:dyDescent="0.2"/>
    <row r="217" s="19" customFormat="1" x14ac:dyDescent="0.2"/>
    <row r="218" s="19" customFormat="1" x14ac:dyDescent="0.2"/>
    <row r="219" s="19" customFormat="1" x14ac:dyDescent="0.2"/>
    <row r="220" s="19" customFormat="1" x14ac:dyDescent="0.2"/>
    <row r="221" s="19" customFormat="1" x14ac:dyDescent="0.2"/>
    <row r="222" s="19" customFormat="1" x14ac:dyDescent="0.2"/>
    <row r="223" s="19" customFormat="1" x14ac:dyDescent="0.2"/>
    <row r="224" s="19" customFormat="1" x14ac:dyDescent="0.2"/>
    <row r="225" s="19" customFormat="1" x14ac:dyDescent="0.2"/>
    <row r="226" s="19" customFormat="1" x14ac:dyDescent="0.2"/>
    <row r="227" s="19" customFormat="1" x14ac:dyDescent="0.2"/>
    <row r="228" s="19" customFormat="1" x14ac:dyDescent="0.2"/>
    <row r="229" s="19" customFormat="1" x14ac:dyDescent="0.2"/>
    <row r="230" s="19" customFormat="1" x14ac:dyDescent="0.2"/>
    <row r="231" s="19" customFormat="1" x14ac:dyDescent="0.2"/>
    <row r="232" s="19" customFormat="1" x14ac:dyDescent="0.2"/>
    <row r="233" s="19" customFormat="1" x14ac:dyDescent="0.2"/>
    <row r="234" s="19" customFormat="1" x14ac:dyDescent="0.2"/>
    <row r="235" s="19" customFormat="1" x14ac:dyDescent="0.2"/>
    <row r="236" s="19" customFormat="1" x14ac:dyDescent="0.2"/>
    <row r="237" s="19" customFormat="1" x14ac:dyDescent="0.2"/>
    <row r="238" s="19" customFormat="1" x14ac:dyDescent="0.2"/>
    <row r="239" s="19" customFormat="1" x14ac:dyDescent="0.2"/>
    <row r="240" s="19" customFormat="1" x14ac:dyDescent="0.2"/>
    <row r="241" s="19" customFormat="1" x14ac:dyDescent="0.2"/>
    <row r="242" s="19" customFormat="1" x14ac:dyDescent="0.2"/>
    <row r="243" s="19" customFormat="1" x14ac:dyDescent="0.2"/>
    <row r="244" s="19" customFormat="1" x14ac:dyDescent="0.2"/>
    <row r="245" s="19" customFormat="1" x14ac:dyDescent="0.2"/>
    <row r="246" s="19" customFormat="1" x14ac:dyDescent="0.2"/>
    <row r="247" s="19" customFormat="1" x14ac:dyDescent="0.2"/>
    <row r="248" s="19" customFormat="1" x14ac:dyDescent="0.2"/>
    <row r="249" s="19" customFormat="1" x14ac:dyDescent="0.2"/>
    <row r="250" s="19" customFormat="1" x14ac:dyDescent="0.2"/>
    <row r="251" s="19" customFormat="1" x14ac:dyDescent="0.2"/>
    <row r="252" s="19" customFormat="1" x14ac:dyDescent="0.2"/>
    <row r="253" s="19" customFormat="1" x14ac:dyDescent="0.2"/>
    <row r="254" s="19" customFormat="1" x14ac:dyDescent="0.2"/>
    <row r="255" s="19" customFormat="1" x14ac:dyDescent="0.2"/>
    <row r="256" s="19" customFormat="1" x14ac:dyDescent="0.2"/>
    <row r="257" s="19" customFormat="1" x14ac:dyDescent="0.2"/>
    <row r="258" s="19" customFormat="1" x14ac:dyDescent="0.2"/>
    <row r="259" s="19" customFormat="1" x14ac:dyDescent="0.2"/>
    <row r="260" s="19" customFormat="1" x14ac:dyDescent="0.2"/>
    <row r="261" s="19" customFormat="1" x14ac:dyDescent="0.2"/>
    <row r="262" s="19" customFormat="1" x14ac:dyDescent="0.2"/>
    <row r="263" s="19" customFormat="1" x14ac:dyDescent="0.2"/>
    <row r="264" s="19" customFormat="1" x14ac:dyDescent="0.2"/>
    <row r="265" s="19" customFormat="1" x14ac:dyDescent="0.2"/>
    <row r="266" s="19" customFormat="1" x14ac:dyDescent="0.2"/>
    <row r="267" s="19" customFormat="1" x14ac:dyDescent="0.2"/>
    <row r="268" s="19" customFormat="1" x14ac:dyDescent="0.2"/>
    <row r="269" s="19" customFormat="1" x14ac:dyDescent="0.2"/>
    <row r="270" s="19" customFormat="1" x14ac:dyDescent="0.2"/>
    <row r="271" s="19" customFormat="1" x14ac:dyDescent="0.2"/>
    <row r="272" s="19" customFormat="1" x14ac:dyDescent="0.2"/>
    <row r="273" s="19" customFormat="1" x14ac:dyDescent="0.2"/>
    <row r="274" s="19" customFormat="1" x14ac:dyDescent="0.2"/>
    <row r="275" s="19" customFormat="1" x14ac:dyDescent="0.2"/>
    <row r="276" s="19" customFormat="1" x14ac:dyDescent="0.2"/>
    <row r="277" s="19" customFormat="1" x14ac:dyDescent="0.2"/>
    <row r="278" s="19" customFormat="1" x14ac:dyDescent="0.2"/>
    <row r="279" s="19" customFormat="1" x14ac:dyDescent="0.2"/>
    <row r="280" s="19" customFormat="1" x14ac:dyDescent="0.2"/>
    <row r="281" s="19" customFormat="1" x14ac:dyDescent="0.2"/>
    <row r="282" s="19" customFormat="1" x14ac:dyDescent="0.2"/>
    <row r="283" s="19" customFormat="1" x14ac:dyDescent="0.2"/>
    <row r="284" s="19" customFormat="1" x14ac:dyDescent="0.2"/>
    <row r="285" s="19" customFormat="1" x14ac:dyDescent="0.2"/>
    <row r="286" s="19" customFormat="1" x14ac:dyDescent="0.2"/>
    <row r="287" s="19" customFormat="1" x14ac:dyDescent="0.2"/>
    <row r="288" s="19" customFormat="1" x14ac:dyDescent="0.2"/>
    <row r="289" s="19" customFormat="1" x14ac:dyDescent="0.2"/>
    <row r="290" s="19" customFormat="1" x14ac:dyDescent="0.2"/>
    <row r="291" s="19" customFormat="1" x14ac:dyDescent="0.2"/>
    <row r="292" s="19" customFormat="1" x14ac:dyDescent="0.2"/>
    <row r="293" s="19" customFormat="1" x14ac:dyDescent="0.2"/>
    <row r="294" s="19" customFormat="1" x14ac:dyDescent="0.2"/>
    <row r="295" s="19" customFormat="1" x14ac:dyDescent="0.2"/>
    <row r="296" s="19" customFormat="1" x14ac:dyDescent="0.2"/>
    <row r="297" s="19" customFormat="1" x14ac:dyDescent="0.2"/>
    <row r="298" s="19" customFormat="1" x14ac:dyDescent="0.2"/>
    <row r="299" s="19" customFormat="1" x14ac:dyDescent="0.2"/>
    <row r="300" s="19" customFormat="1" x14ac:dyDescent="0.2"/>
    <row r="301" s="19" customFormat="1" x14ac:dyDescent="0.2"/>
    <row r="302" s="19" customFormat="1" x14ac:dyDescent="0.2"/>
    <row r="303" s="19" customFormat="1" x14ac:dyDescent="0.2"/>
    <row r="304" s="19" customFormat="1" x14ac:dyDescent="0.2"/>
    <row r="305" s="19" customFormat="1" x14ac:dyDescent="0.2"/>
    <row r="306" s="19" customFormat="1" x14ac:dyDescent="0.2"/>
    <row r="307" s="19" customFormat="1" x14ac:dyDescent="0.2"/>
    <row r="308" s="19" customFormat="1" x14ac:dyDescent="0.2"/>
    <row r="309" s="19" customFormat="1" x14ac:dyDescent="0.2"/>
    <row r="310" s="19" customFormat="1" x14ac:dyDescent="0.2"/>
    <row r="311" s="19" customFormat="1" x14ac:dyDescent="0.2"/>
    <row r="312" s="19" customFormat="1" x14ac:dyDescent="0.2"/>
    <row r="313" s="19" customFormat="1" x14ac:dyDescent="0.2"/>
    <row r="314" s="19" customFormat="1" x14ac:dyDescent="0.2"/>
    <row r="315" s="19" customFormat="1" x14ac:dyDescent="0.2"/>
    <row r="316" s="19" customFormat="1" x14ac:dyDescent="0.2"/>
    <row r="317" s="19" customFormat="1" x14ac:dyDescent="0.2"/>
    <row r="318" s="19" customFormat="1" x14ac:dyDescent="0.2"/>
    <row r="319" s="19" customFormat="1" x14ac:dyDescent="0.2"/>
    <row r="320" s="19" customFormat="1" x14ac:dyDescent="0.2"/>
    <row r="321" s="19" customFormat="1" x14ac:dyDescent="0.2"/>
    <row r="322" s="19" customFormat="1" x14ac:dyDescent="0.2"/>
    <row r="323" s="19" customFormat="1" x14ac:dyDescent="0.2"/>
    <row r="324" s="19" customFormat="1" x14ac:dyDescent="0.2"/>
    <row r="325" s="19" customFormat="1" x14ac:dyDescent="0.2"/>
    <row r="326" s="19" customFormat="1" x14ac:dyDescent="0.2"/>
    <row r="327" s="19" customFormat="1" x14ac:dyDescent="0.2"/>
    <row r="328" s="19" customFormat="1" x14ac:dyDescent="0.2"/>
    <row r="329" s="19" customFormat="1" x14ac:dyDescent="0.2"/>
    <row r="330" s="19" customFormat="1" x14ac:dyDescent="0.2"/>
    <row r="331" s="19" customFormat="1" x14ac:dyDescent="0.2"/>
    <row r="332" s="19" customFormat="1" x14ac:dyDescent="0.2"/>
    <row r="333" s="19" customFormat="1" x14ac:dyDescent="0.2"/>
    <row r="334" s="19" customFormat="1" x14ac:dyDescent="0.2"/>
    <row r="335" s="19" customFormat="1" x14ac:dyDescent="0.2"/>
    <row r="336" s="19" customFormat="1" x14ac:dyDescent="0.2"/>
    <row r="337" s="19" customFormat="1" x14ac:dyDescent="0.2"/>
    <row r="338" s="19" customFormat="1" x14ac:dyDescent="0.2"/>
    <row r="339" s="19" customFormat="1" x14ac:dyDescent="0.2"/>
    <row r="340" s="19" customFormat="1" x14ac:dyDescent="0.2"/>
    <row r="341" s="19" customFormat="1" x14ac:dyDescent="0.2"/>
    <row r="342" s="19" customFormat="1" x14ac:dyDescent="0.2"/>
    <row r="343" s="19" customFormat="1" x14ac:dyDescent="0.2"/>
    <row r="344" s="19" customFormat="1" x14ac:dyDescent="0.2"/>
    <row r="345" s="19" customFormat="1" x14ac:dyDescent="0.2"/>
    <row r="346" s="19" customFormat="1" x14ac:dyDescent="0.2"/>
    <row r="347" s="19" customFormat="1" x14ac:dyDescent="0.2"/>
    <row r="348" s="19" customFormat="1" x14ac:dyDescent="0.2"/>
    <row r="349" s="19" customFormat="1" x14ac:dyDescent="0.2"/>
    <row r="350" s="19" customFormat="1" x14ac:dyDescent="0.2"/>
  </sheetData>
  <mergeCells count="55">
    <mergeCell ref="A115:S115"/>
    <mergeCell ref="A116:S116"/>
    <mergeCell ref="A117:S117"/>
    <mergeCell ref="A118:S118"/>
    <mergeCell ref="A119:S119"/>
    <mergeCell ref="A95:S95"/>
    <mergeCell ref="A96:S96"/>
    <mergeCell ref="A97:S97"/>
    <mergeCell ref="A98:S98"/>
    <mergeCell ref="A114:S114"/>
    <mergeCell ref="N103:S103"/>
    <mergeCell ref="B103:G103"/>
    <mergeCell ref="H103:M103"/>
    <mergeCell ref="A9:D9"/>
    <mergeCell ref="A10:D10"/>
    <mergeCell ref="A11:D11"/>
    <mergeCell ref="A12:D12"/>
    <mergeCell ref="A13:D13"/>
    <mergeCell ref="A23:D23"/>
    <mergeCell ref="A24:D24"/>
    <mergeCell ref="A25:D25"/>
    <mergeCell ref="A26:D26"/>
    <mergeCell ref="A27:D27"/>
    <mergeCell ref="A28:D28"/>
    <mergeCell ref="A42:D42"/>
    <mergeCell ref="A43:D43"/>
    <mergeCell ref="A44:D44"/>
    <mergeCell ref="A45:D45"/>
    <mergeCell ref="N87:S87"/>
    <mergeCell ref="A58:M58"/>
    <mergeCell ref="A59:M59"/>
    <mergeCell ref="A60:M60"/>
    <mergeCell ref="A61:M61"/>
    <mergeCell ref="A77:M77"/>
    <mergeCell ref="A78:M78"/>
    <mergeCell ref="A79:M79"/>
    <mergeCell ref="A80:M80"/>
    <mergeCell ref="A81:M81"/>
    <mergeCell ref="A82:M82"/>
    <mergeCell ref="A1:G1"/>
    <mergeCell ref="A16:C16"/>
    <mergeCell ref="A3:C3"/>
    <mergeCell ref="A101:M101"/>
    <mergeCell ref="B87:G87"/>
    <mergeCell ref="F50:I50"/>
    <mergeCell ref="B66:E66"/>
    <mergeCell ref="F66:I66"/>
    <mergeCell ref="A85:M85"/>
    <mergeCell ref="A64:I64"/>
    <mergeCell ref="B50:E50"/>
    <mergeCell ref="A48:I48"/>
    <mergeCell ref="H87:M87"/>
    <mergeCell ref="A31:C31"/>
    <mergeCell ref="J50:M50"/>
    <mergeCell ref="J66:M66"/>
  </mergeCells>
  <phoneticPr fontId="5" type="noConversion"/>
  <pageMargins left="0.78740157499999996" right="0.78740157499999996" top="0.984251969" bottom="0.984251969" header="0.4921259845" footer="0.492125984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calculs_2020_2021_2022!$A$5:$A$22</xm:f>
          </x14:formula1>
          <xm:sqref>A2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S73"/>
  <sheetViews>
    <sheetView tabSelected="1" workbookViewId="0">
      <pane xSplit="1" topLeftCell="B1" activePane="topRight" state="frozen"/>
      <selection activeCell="A13" sqref="A13"/>
      <selection pane="topRight"/>
    </sheetView>
  </sheetViews>
  <sheetFormatPr baseColWidth="10" defaultRowHeight="11.25" x14ac:dyDescent="0.2"/>
  <cols>
    <col min="1" max="1" width="42" style="12" customWidth="1"/>
    <col min="2" max="14" width="14.5703125" style="12" customWidth="1"/>
    <col min="15" max="25" width="11.42578125" style="12"/>
    <col min="26" max="26" width="15.5703125" style="12" bestFit="1" customWidth="1"/>
    <col min="27" max="34" width="11.42578125" style="12"/>
    <col min="35" max="35" width="13.42578125" style="12" bestFit="1" customWidth="1"/>
    <col min="36" max="37" width="13.7109375" style="12" bestFit="1" customWidth="1"/>
    <col min="38" max="38" width="13" style="12" bestFit="1" customWidth="1"/>
    <col min="39" max="39" width="13.42578125" style="12" bestFit="1" customWidth="1"/>
    <col min="40" max="41" width="13.7109375" style="12" bestFit="1" customWidth="1"/>
    <col min="42" max="42" width="13" style="12" bestFit="1" customWidth="1"/>
    <col min="43" max="43" width="13.42578125" style="12" bestFit="1" customWidth="1"/>
    <col min="44" max="45" width="13.7109375" style="12" bestFit="1" customWidth="1"/>
    <col min="46" max="46" width="13" style="12" bestFit="1" customWidth="1"/>
    <col min="47" max="47" width="13.42578125" style="12" bestFit="1" customWidth="1"/>
    <col min="48" max="49" width="13.7109375" style="12" bestFit="1" customWidth="1"/>
    <col min="50" max="50" width="13" style="12" bestFit="1" customWidth="1"/>
    <col min="51" max="51" width="13.42578125" style="12" bestFit="1" customWidth="1"/>
    <col min="52" max="53" width="13.7109375" style="12" bestFit="1" customWidth="1"/>
    <col min="54" max="54" width="13" style="12" bestFit="1" customWidth="1"/>
    <col min="55" max="55" width="13.42578125" style="12" bestFit="1" customWidth="1"/>
    <col min="56" max="57" width="13.7109375" style="12" bestFit="1" customWidth="1"/>
    <col min="58" max="58" width="13" style="12" bestFit="1" customWidth="1"/>
    <col min="59" max="59" width="13.42578125" style="12" bestFit="1" customWidth="1"/>
    <col min="60" max="61" width="13.7109375" style="12" bestFit="1" customWidth="1"/>
    <col min="62" max="62" width="13.85546875" style="12" bestFit="1" customWidth="1"/>
    <col min="63" max="63" width="13.42578125" style="12" bestFit="1" customWidth="1"/>
    <col min="64" max="65" width="13.7109375" style="12" bestFit="1" customWidth="1"/>
    <col min="66" max="67" width="13" style="12" bestFit="1" customWidth="1"/>
    <col min="68" max="71" width="12.140625" style="12" bestFit="1" customWidth="1"/>
    <col min="72" max="78" width="13" style="12" bestFit="1" customWidth="1"/>
    <col min="79" max="79" width="12.140625" style="12" bestFit="1" customWidth="1"/>
    <col min="80" max="84" width="13" style="12" bestFit="1" customWidth="1"/>
    <col min="85" max="85" width="12.140625" style="12" bestFit="1" customWidth="1"/>
    <col min="86" max="90" width="13" style="12" bestFit="1" customWidth="1"/>
    <col min="91" max="91" width="13.85546875" style="12" bestFit="1" customWidth="1"/>
    <col min="92" max="92" width="15.5703125" style="12" bestFit="1" customWidth="1"/>
    <col min="93" max="94" width="14.7109375" style="12" bestFit="1" customWidth="1"/>
    <col min="95" max="95" width="15.5703125" style="12" bestFit="1" customWidth="1"/>
    <col min="96" max="96" width="14.7109375" style="12" bestFit="1" customWidth="1"/>
    <col min="97" max="16384" width="11.42578125" style="12"/>
  </cols>
  <sheetData>
    <row r="1" spans="1:149" s="37" customFormat="1" ht="15.75" thickBot="1" x14ac:dyDescent="0.25">
      <c r="A1" s="217"/>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row>
    <row r="2" spans="1:149" s="31" customFormat="1" ht="23.25" customHeight="1" thickBot="1" x14ac:dyDescent="0.25">
      <c r="A2" s="29"/>
      <c r="B2" s="29"/>
      <c r="C2" s="29"/>
      <c r="D2" s="29"/>
      <c r="E2" s="29"/>
      <c r="F2" s="29"/>
      <c r="G2" s="29"/>
      <c r="H2" s="29"/>
      <c r="I2" s="29"/>
      <c r="J2" s="29"/>
      <c r="K2" s="29"/>
      <c r="L2" s="29"/>
      <c r="M2" s="29"/>
      <c r="N2" s="29"/>
      <c r="O2" s="405" t="s">
        <v>85</v>
      </c>
      <c r="P2" s="406"/>
      <c r="Q2" s="406"/>
      <c r="R2" s="406"/>
      <c r="S2" s="406"/>
      <c r="T2" s="406"/>
      <c r="U2" s="406"/>
      <c r="V2" s="406"/>
      <c r="W2" s="406"/>
      <c r="X2" s="406"/>
      <c r="Y2" s="406"/>
      <c r="Z2" s="406"/>
      <c r="AA2" s="406"/>
      <c r="AB2" s="406"/>
      <c r="AC2" s="406"/>
      <c r="AD2" s="406"/>
      <c r="AE2" s="406"/>
      <c r="AF2" s="406"/>
      <c r="AG2" s="406"/>
      <c r="AH2" s="407"/>
      <c r="AI2" s="405" t="s">
        <v>86</v>
      </c>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7"/>
      <c r="BO2" s="405" t="s">
        <v>87</v>
      </c>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7"/>
      <c r="CS2" s="405" t="s">
        <v>88</v>
      </c>
      <c r="CT2" s="406"/>
      <c r="CU2" s="406"/>
      <c r="CV2" s="406"/>
      <c r="CW2" s="406"/>
      <c r="CX2" s="406"/>
      <c r="CY2" s="406"/>
      <c r="CZ2" s="406"/>
      <c r="DA2" s="406"/>
      <c r="DB2" s="406"/>
      <c r="DC2" s="406"/>
      <c r="DD2" s="406"/>
      <c r="DE2" s="406"/>
      <c r="DF2" s="406"/>
      <c r="DG2" s="406"/>
      <c r="DH2" s="406"/>
      <c r="DI2" s="406"/>
      <c r="DJ2" s="406"/>
      <c r="DK2" s="406"/>
      <c r="DL2" s="406"/>
      <c r="DM2" s="406"/>
      <c r="DN2" s="406"/>
      <c r="DO2" s="406"/>
      <c r="DP2" s="406"/>
      <c r="DQ2" s="406"/>
      <c r="DR2" s="406"/>
      <c r="DS2" s="406"/>
      <c r="DT2" s="406"/>
      <c r="DU2" s="406"/>
      <c r="DV2" s="406"/>
      <c r="DW2" s="406"/>
      <c r="DX2" s="406"/>
      <c r="DY2" s="406"/>
      <c r="DZ2" s="406"/>
      <c r="EA2" s="406"/>
      <c r="EB2" s="406"/>
      <c r="EC2" s="406"/>
      <c r="ED2" s="406"/>
      <c r="EE2" s="406"/>
      <c r="EF2" s="406"/>
      <c r="EG2" s="406"/>
      <c r="EH2" s="406"/>
      <c r="EI2" s="406"/>
      <c r="EJ2" s="406"/>
      <c r="EK2" s="406"/>
      <c r="EL2" s="406"/>
      <c r="EM2" s="406"/>
      <c r="EN2" s="407"/>
    </row>
    <row r="3" spans="1:149" s="32" customFormat="1" ht="70.5" customHeight="1" thickBot="1" x14ac:dyDescent="0.25">
      <c r="A3" s="341" t="s">
        <v>129</v>
      </c>
      <c r="B3" s="405" t="s">
        <v>34</v>
      </c>
      <c r="C3" s="406"/>
      <c r="D3" s="406"/>
      <c r="E3" s="406"/>
      <c r="F3" s="406"/>
      <c r="G3" s="407"/>
      <c r="H3" s="405" t="s">
        <v>68</v>
      </c>
      <c r="I3" s="406"/>
      <c r="J3" s="406"/>
      <c r="K3" s="406"/>
      <c r="L3" s="406"/>
      <c r="M3" s="406"/>
      <c r="N3" s="407"/>
      <c r="O3" s="415" t="s">
        <v>79</v>
      </c>
      <c r="P3" s="416"/>
      <c r="Q3" s="416"/>
      <c r="R3" s="417"/>
      <c r="S3" s="415" t="s">
        <v>80</v>
      </c>
      <c r="T3" s="416"/>
      <c r="U3" s="416"/>
      <c r="V3" s="417"/>
      <c r="W3" s="415" t="s">
        <v>81</v>
      </c>
      <c r="X3" s="416"/>
      <c r="Y3" s="416"/>
      <c r="Z3" s="417"/>
      <c r="AA3" s="415" t="s">
        <v>82</v>
      </c>
      <c r="AB3" s="416"/>
      <c r="AC3" s="416"/>
      <c r="AD3" s="417"/>
      <c r="AE3" s="415" t="s">
        <v>7</v>
      </c>
      <c r="AF3" s="416"/>
      <c r="AG3" s="416"/>
      <c r="AH3" s="420"/>
      <c r="AI3" s="412" t="s">
        <v>36</v>
      </c>
      <c r="AJ3" s="413"/>
      <c r="AK3" s="413"/>
      <c r="AL3" s="414"/>
      <c r="AM3" s="412" t="s">
        <v>4</v>
      </c>
      <c r="AN3" s="413"/>
      <c r="AO3" s="413"/>
      <c r="AP3" s="414"/>
      <c r="AQ3" s="412" t="s">
        <v>44</v>
      </c>
      <c r="AR3" s="413"/>
      <c r="AS3" s="413"/>
      <c r="AT3" s="414"/>
      <c r="AU3" s="412" t="s">
        <v>5</v>
      </c>
      <c r="AV3" s="413"/>
      <c r="AW3" s="413"/>
      <c r="AX3" s="414"/>
      <c r="AY3" s="412" t="s">
        <v>37</v>
      </c>
      <c r="AZ3" s="413"/>
      <c r="BA3" s="413"/>
      <c r="BB3" s="418"/>
      <c r="BC3" s="412" t="s">
        <v>38</v>
      </c>
      <c r="BD3" s="413"/>
      <c r="BE3" s="413"/>
      <c r="BF3" s="414"/>
      <c r="BG3" s="412" t="s">
        <v>6</v>
      </c>
      <c r="BH3" s="413"/>
      <c r="BI3" s="413"/>
      <c r="BJ3" s="414"/>
      <c r="BK3" s="412" t="s">
        <v>16</v>
      </c>
      <c r="BL3" s="413"/>
      <c r="BM3" s="413"/>
      <c r="BN3" s="414"/>
      <c r="BO3" s="415" t="s">
        <v>79</v>
      </c>
      <c r="BP3" s="416"/>
      <c r="BQ3" s="416"/>
      <c r="BR3" s="416"/>
      <c r="BS3" s="416"/>
      <c r="BT3" s="417"/>
      <c r="BU3" s="415" t="s">
        <v>80</v>
      </c>
      <c r="BV3" s="416"/>
      <c r="BW3" s="416"/>
      <c r="BX3" s="416"/>
      <c r="BY3" s="416"/>
      <c r="BZ3" s="417"/>
      <c r="CA3" s="415" t="s">
        <v>81</v>
      </c>
      <c r="CB3" s="416"/>
      <c r="CC3" s="416"/>
      <c r="CD3" s="416"/>
      <c r="CE3" s="416"/>
      <c r="CF3" s="417"/>
      <c r="CG3" s="415" t="s">
        <v>82</v>
      </c>
      <c r="CH3" s="416"/>
      <c r="CI3" s="416"/>
      <c r="CJ3" s="416"/>
      <c r="CK3" s="416"/>
      <c r="CL3" s="417"/>
      <c r="CM3" s="415" t="s">
        <v>7</v>
      </c>
      <c r="CN3" s="416"/>
      <c r="CO3" s="416"/>
      <c r="CP3" s="416"/>
      <c r="CQ3" s="416"/>
      <c r="CR3" s="417"/>
      <c r="CS3" s="412" t="s">
        <v>36</v>
      </c>
      <c r="CT3" s="413"/>
      <c r="CU3" s="413"/>
      <c r="CV3" s="413"/>
      <c r="CW3" s="413"/>
      <c r="CX3" s="414"/>
      <c r="CY3" s="412" t="s">
        <v>4</v>
      </c>
      <c r="CZ3" s="413"/>
      <c r="DA3" s="413"/>
      <c r="DB3" s="413"/>
      <c r="DC3" s="413"/>
      <c r="DD3" s="414"/>
      <c r="DE3" s="412" t="s">
        <v>44</v>
      </c>
      <c r="DF3" s="413"/>
      <c r="DG3" s="413"/>
      <c r="DH3" s="413"/>
      <c r="DI3" s="413"/>
      <c r="DJ3" s="414"/>
      <c r="DK3" s="412" t="s">
        <v>5</v>
      </c>
      <c r="DL3" s="413"/>
      <c r="DM3" s="413"/>
      <c r="DN3" s="413"/>
      <c r="DO3" s="413"/>
      <c r="DP3" s="414"/>
      <c r="DQ3" s="412" t="s">
        <v>37</v>
      </c>
      <c r="DR3" s="413"/>
      <c r="DS3" s="413"/>
      <c r="DT3" s="413"/>
      <c r="DU3" s="413"/>
      <c r="DV3" s="414"/>
      <c r="DW3" s="412" t="s">
        <v>38</v>
      </c>
      <c r="DX3" s="413"/>
      <c r="DY3" s="413"/>
      <c r="DZ3" s="413"/>
      <c r="EA3" s="413"/>
      <c r="EB3" s="414"/>
      <c r="EC3" s="412" t="s">
        <v>6</v>
      </c>
      <c r="ED3" s="413"/>
      <c r="EE3" s="413"/>
      <c r="EF3" s="413"/>
      <c r="EG3" s="413"/>
      <c r="EH3" s="414"/>
      <c r="EI3" s="412" t="s">
        <v>16</v>
      </c>
      <c r="EJ3" s="413"/>
      <c r="EK3" s="413"/>
      <c r="EL3" s="413"/>
      <c r="EM3" s="413"/>
      <c r="EN3" s="418"/>
    </row>
    <row r="4" spans="1:149" s="32" customFormat="1" ht="99.75" customHeight="1" x14ac:dyDescent="0.2">
      <c r="A4" s="66" t="s">
        <v>30</v>
      </c>
      <c r="B4" s="67" t="s">
        <v>105</v>
      </c>
      <c r="C4" s="72" t="s">
        <v>124</v>
      </c>
      <c r="D4" s="72" t="s">
        <v>107</v>
      </c>
      <c r="E4" s="72" t="s">
        <v>108</v>
      </c>
      <c r="F4" s="72" t="s">
        <v>58</v>
      </c>
      <c r="G4" s="76" t="s">
        <v>59</v>
      </c>
      <c r="H4" s="121" t="s">
        <v>69</v>
      </c>
      <c r="I4" s="105" t="s">
        <v>70</v>
      </c>
      <c r="J4" s="105" t="s">
        <v>71</v>
      </c>
      <c r="K4" s="105" t="s">
        <v>72</v>
      </c>
      <c r="L4" s="105" t="s">
        <v>73</v>
      </c>
      <c r="M4" s="105" t="s">
        <v>74</v>
      </c>
      <c r="N4" s="116" t="s">
        <v>75</v>
      </c>
      <c r="O4" s="211" t="s">
        <v>76</v>
      </c>
      <c r="P4" s="212" t="s">
        <v>77</v>
      </c>
      <c r="Q4" s="213" t="s">
        <v>78</v>
      </c>
      <c r="R4" s="214" t="s">
        <v>83</v>
      </c>
      <c r="S4" s="211" t="s">
        <v>76</v>
      </c>
      <c r="T4" s="212" t="s">
        <v>77</v>
      </c>
      <c r="U4" s="213" t="s">
        <v>78</v>
      </c>
      <c r="V4" s="214" t="s">
        <v>83</v>
      </c>
      <c r="W4" s="211" t="s">
        <v>76</v>
      </c>
      <c r="X4" s="212" t="s">
        <v>77</v>
      </c>
      <c r="Y4" s="213" t="s">
        <v>78</v>
      </c>
      <c r="Z4" s="214" t="s">
        <v>83</v>
      </c>
      <c r="AA4" s="211" t="s">
        <v>76</v>
      </c>
      <c r="AB4" s="212" t="s">
        <v>77</v>
      </c>
      <c r="AC4" s="213" t="s">
        <v>78</v>
      </c>
      <c r="AD4" s="214" t="s">
        <v>83</v>
      </c>
      <c r="AE4" s="211" t="s">
        <v>76</v>
      </c>
      <c r="AF4" s="212" t="s">
        <v>77</v>
      </c>
      <c r="AG4" s="213" t="s">
        <v>78</v>
      </c>
      <c r="AH4" s="214" t="s">
        <v>83</v>
      </c>
      <c r="AI4" s="129" t="s">
        <v>76</v>
      </c>
      <c r="AJ4" s="128" t="s">
        <v>77</v>
      </c>
      <c r="AK4" s="109" t="s">
        <v>78</v>
      </c>
      <c r="AL4" s="120" t="s">
        <v>83</v>
      </c>
      <c r="AM4" s="129" t="s">
        <v>76</v>
      </c>
      <c r="AN4" s="128" t="s">
        <v>77</v>
      </c>
      <c r="AO4" s="109" t="s">
        <v>78</v>
      </c>
      <c r="AP4" s="120" t="s">
        <v>83</v>
      </c>
      <c r="AQ4" s="129" t="s">
        <v>76</v>
      </c>
      <c r="AR4" s="128" t="s">
        <v>77</v>
      </c>
      <c r="AS4" s="109" t="s">
        <v>78</v>
      </c>
      <c r="AT4" s="120" t="s">
        <v>83</v>
      </c>
      <c r="AU4" s="129" t="s">
        <v>76</v>
      </c>
      <c r="AV4" s="128" t="s">
        <v>77</v>
      </c>
      <c r="AW4" s="109" t="s">
        <v>78</v>
      </c>
      <c r="AX4" s="120" t="s">
        <v>83</v>
      </c>
      <c r="AY4" s="129" t="s">
        <v>76</v>
      </c>
      <c r="AZ4" s="128" t="s">
        <v>77</v>
      </c>
      <c r="BA4" s="109" t="s">
        <v>78</v>
      </c>
      <c r="BB4" s="120" t="s">
        <v>83</v>
      </c>
      <c r="BC4" s="129" t="s">
        <v>76</v>
      </c>
      <c r="BD4" s="128" t="s">
        <v>77</v>
      </c>
      <c r="BE4" s="109" t="s">
        <v>78</v>
      </c>
      <c r="BF4" s="120" t="s">
        <v>83</v>
      </c>
      <c r="BG4" s="129" t="s">
        <v>76</v>
      </c>
      <c r="BH4" s="128" t="s">
        <v>77</v>
      </c>
      <c r="BI4" s="109" t="s">
        <v>78</v>
      </c>
      <c r="BJ4" s="120" t="s">
        <v>83</v>
      </c>
      <c r="BK4" s="129" t="s">
        <v>76</v>
      </c>
      <c r="BL4" s="128" t="s">
        <v>77</v>
      </c>
      <c r="BM4" s="109" t="s">
        <v>78</v>
      </c>
      <c r="BN4" s="120" t="s">
        <v>83</v>
      </c>
      <c r="BO4" s="162" t="s">
        <v>70</v>
      </c>
      <c r="BP4" s="163" t="s">
        <v>71</v>
      </c>
      <c r="BQ4" s="163" t="s">
        <v>72</v>
      </c>
      <c r="BR4" s="163" t="s">
        <v>73</v>
      </c>
      <c r="BS4" s="163" t="s">
        <v>74</v>
      </c>
      <c r="BT4" s="164" t="s">
        <v>75</v>
      </c>
      <c r="BU4" s="162" t="s">
        <v>70</v>
      </c>
      <c r="BV4" s="163" t="s">
        <v>71</v>
      </c>
      <c r="BW4" s="163" t="s">
        <v>72</v>
      </c>
      <c r="BX4" s="163" t="s">
        <v>73</v>
      </c>
      <c r="BY4" s="163" t="s">
        <v>74</v>
      </c>
      <c r="BZ4" s="164" t="s">
        <v>75</v>
      </c>
      <c r="CA4" s="162" t="s">
        <v>70</v>
      </c>
      <c r="CB4" s="163" t="s">
        <v>71</v>
      </c>
      <c r="CC4" s="163" t="s">
        <v>72</v>
      </c>
      <c r="CD4" s="163" t="s">
        <v>73</v>
      </c>
      <c r="CE4" s="163" t="s">
        <v>74</v>
      </c>
      <c r="CF4" s="164" t="s">
        <v>75</v>
      </c>
      <c r="CG4" s="162" t="s">
        <v>70</v>
      </c>
      <c r="CH4" s="163" t="s">
        <v>71</v>
      </c>
      <c r="CI4" s="163" t="s">
        <v>72</v>
      </c>
      <c r="CJ4" s="163" t="s">
        <v>73</v>
      </c>
      <c r="CK4" s="163" t="s">
        <v>74</v>
      </c>
      <c r="CL4" s="164" t="s">
        <v>75</v>
      </c>
      <c r="CM4" s="162" t="s">
        <v>70</v>
      </c>
      <c r="CN4" s="163" t="s">
        <v>71</v>
      </c>
      <c r="CO4" s="163" t="s">
        <v>72</v>
      </c>
      <c r="CP4" s="163" t="s">
        <v>73</v>
      </c>
      <c r="CQ4" s="163" t="s">
        <v>74</v>
      </c>
      <c r="CR4" s="164" t="s">
        <v>75</v>
      </c>
      <c r="CS4" s="162" t="s">
        <v>70</v>
      </c>
      <c r="CT4" s="163" t="s">
        <v>71</v>
      </c>
      <c r="CU4" s="163" t="s">
        <v>72</v>
      </c>
      <c r="CV4" s="163" t="s">
        <v>73</v>
      </c>
      <c r="CW4" s="163" t="s">
        <v>74</v>
      </c>
      <c r="CX4" s="164" t="s">
        <v>75</v>
      </c>
      <c r="CY4" s="162" t="s">
        <v>70</v>
      </c>
      <c r="CZ4" s="163" t="s">
        <v>71</v>
      </c>
      <c r="DA4" s="163" t="s">
        <v>72</v>
      </c>
      <c r="DB4" s="163" t="s">
        <v>73</v>
      </c>
      <c r="DC4" s="163" t="s">
        <v>74</v>
      </c>
      <c r="DD4" s="164" t="s">
        <v>75</v>
      </c>
      <c r="DE4" s="162" t="s">
        <v>70</v>
      </c>
      <c r="DF4" s="163" t="s">
        <v>71</v>
      </c>
      <c r="DG4" s="163" t="s">
        <v>72</v>
      </c>
      <c r="DH4" s="163" t="s">
        <v>73</v>
      </c>
      <c r="DI4" s="163" t="s">
        <v>74</v>
      </c>
      <c r="DJ4" s="164" t="s">
        <v>75</v>
      </c>
      <c r="DK4" s="162" t="s">
        <v>70</v>
      </c>
      <c r="DL4" s="163" t="s">
        <v>71</v>
      </c>
      <c r="DM4" s="163" t="s">
        <v>72</v>
      </c>
      <c r="DN4" s="163" t="s">
        <v>73</v>
      </c>
      <c r="DO4" s="163" t="s">
        <v>74</v>
      </c>
      <c r="DP4" s="164" t="s">
        <v>75</v>
      </c>
      <c r="DQ4" s="162" t="s">
        <v>70</v>
      </c>
      <c r="DR4" s="163" t="s">
        <v>71</v>
      </c>
      <c r="DS4" s="163" t="s">
        <v>72</v>
      </c>
      <c r="DT4" s="163" t="s">
        <v>73</v>
      </c>
      <c r="DU4" s="163" t="s">
        <v>74</v>
      </c>
      <c r="DV4" s="164" t="s">
        <v>75</v>
      </c>
      <c r="DW4" s="162" t="s">
        <v>70</v>
      </c>
      <c r="DX4" s="163" t="s">
        <v>71</v>
      </c>
      <c r="DY4" s="163" t="s">
        <v>72</v>
      </c>
      <c r="DZ4" s="163" t="s">
        <v>73</v>
      </c>
      <c r="EA4" s="163" t="s">
        <v>74</v>
      </c>
      <c r="EB4" s="164" t="s">
        <v>75</v>
      </c>
      <c r="EC4" s="162" t="s">
        <v>70</v>
      </c>
      <c r="ED4" s="163" t="s">
        <v>71</v>
      </c>
      <c r="EE4" s="163" t="s">
        <v>72</v>
      </c>
      <c r="EF4" s="163" t="s">
        <v>73</v>
      </c>
      <c r="EG4" s="163" t="s">
        <v>74</v>
      </c>
      <c r="EH4" s="164" t="s">
        <v>75</v>
      </c>
      <c r="EI4" s="162" t="s">
        <v>70</v>
      </c>
      <c r="EJ4" s="163" t="s">
        <v>71</v>
      </c>
      <c r="EK4" s="163" t="s">
        <v>72</v>
      </c>
      <c r="EL4" s="163" t="s">
        <v>73</v>
      </c>
      <c r="EM4" s="163" t="s">
        <v>74</v>
      </c>
      <c r="EN4" s="164" t="s">
        <v>75</v>
      </c>
      <c r="EO4" s="27"/>
      <c r="EP4" s="27"/>
      <c r="EQ4" s="27"/>
      <c r="ER4" s="27"/>
      <c r="ES4" s="27"/>
    </row>
    <row r="5" spans="1:149" ht="10.5" customHeight="1" x14ac:dyDescent="0.2">
      <c r="A5" s="65" t="s">
        <v>17</v>
      </c>
      <c r="B5" s="68">
        <v>504</v>
      </c>
      <c r="C5" s="73">
        <v>28034.952773670211</v>
      </c>
      <c r="D5" s="73">
        <v>1441</v>
      </c>
      <c r="E5" s="91">
        <v>712</v>
      </c>
      <c r="F5" s="91">
        <v>430.64018681465876</v>
      </c>
      <c r="G5" s="117">
        <v>545.82687556158544</v>
      </c>
      <c r="H5" s="122">
        <v>37.878339733628415</v>
      </c>
      <c r="I5" s="91">
        <v>57.936507936507944</v>
      </c>
      <c r="J5" s="91">
        <v>10.912698412698413</v>
      </c>
      <c r="K5" s="91">
        <v>8.5317460317460316</v>
      </c>
      <c r="L5" s="91">
        <v>7.3412698412698418</v>
      </c>
      <c r="M5" s="91">
        <v>4.9603174603174605</v>
      </c>
      <c r="N5" s="117">
        <v>10.317460317460316</v>
      </c>
      <c r="O5" s="153">
        <v>4.3766569987786763</v>
      </c>
      <c r="P5" s="154">
        <v>1.0477824752362774</v>
      </c>
      <c r="Q5" s="154">
        <v>1.3106399467186027</v>
      </c>
      <c r="R5" s="159">
        <v>29.946142617169723</v>
      </c>
      <c r="S5" s="153">
        <v>5.3550618536742212</v>
      </c>
      <c r="T5" s="154">
        <v>1.3507054246626249</v>
      </c>
      <c r="U5" s="154">
        <v>1.7289062689219123</v>
      </c>
      <c r="V5" s="159">
        <v>32.285458434727005</v>
      </c>
      <c r="W5" s="153">
        <v>5.7037924442787729</v>
      </c>
      <c r="X5" s="154">
        <v>1.7521755182298644</v>
      </c>
      <c r="Y5" s="154">
        <v>2.1767777483124471</v>
      </c>
      <c r="Z5" s="159">
        <v>38.163691431231491</v>
      </c>
      <c r="AA5" s="153">
        <v>5.8464650352428418</v>
      </c>
      <c r="AB5" s="154">
        <v>2.2171493161298272</v>
      </c>
      <c r="AC5" s="154">
        <v>2.87318900604454</v>
      </c>
      <c r="AD5" s="159">
        <v>49.144038127736742</v>
      </c>
      <c r="AE5" s="153">
        <v>5.9939344386111673</v>
      </c>
      <c r="AF5" s="154">
        <v>4.3039531295514104</v>
      </c>
      <c r="AG5" s="154">
        <v>5.7022512737363247</v>
      </c>
      <c r="AH5" s="159">
        <v>95.133694439567023</v>
      </c>
      <c r="AI5" s="153">
        <v>4.8791040870852243</v>
      </c>
      <c r="AJ5" s="154">
        <v>1.1787387613113518</v>
      </c>
      <c r="AK5" s="154">
        <v>1.5648081489873857</v>
      </c>
      <c r="AL5" s="159">
        <v>32.071628746953046</v>
      </c>
      <c r="AM5" s="153">
        <v>4.8864886412063315</v>
      </c>
      <c r="AN5" s="154">
        <v>0.7666682334219832</v>
      </c>
      <c r="AO5" s="154">
        <v>1.0057976483422411</v>
      </c>
      <c r="AP5" s="159">
        <v>20.583239258158571</v>
      </c>
      <c r="AQ5" s="153">
        <v>5.0567469152948261</v>
      </c>
      <c r="AR5" s="154">
        <v>1.4161585188745101</v>
      </c>
      <c r="AS5" s="154">
        <v>1.7748323419339886</v>
      </c>
      <c r="AT5" s="159">
        <v>35.098302755982594</v>
      </c>
      <c r="AU5" s="153">
        <v>5.2292891733716269</v>
      </c>
      <c r="AV5" s="154">
        <v>0.88126381479115279</v>
      </c>
      <c r="AW5" s="154">
        <v>1.1864485599912018</v>
      </c>
      <c r="AX5" s="159">
        <v>22.688524590163937</v>
      </c>
      <c r="AY5" s="153">
        <v>5.5054383292944999</v>
      </c>
      <c r="AZ5" s="154">
        <v>3.1744451717582849</v>
      </c>
      <c r="BA5" s="154">
        <v>4.2996799006241364</v>
      </c>
      <c r="BB5" s="159">
        <v>78.098775128321591</v>
      </c>
      <c r="BC5" s="153">
        <v>5.1199314799290141</v>
      </c>
      <c r="BD5" s="154">
        <v>1.156522250576441</v>
      </c>
      <c r="BE5" s="154">
        <v>1.4109218580265226</v>
      </c>
      <c r="BF5" s="159">
        <v>27.557436335966056</v>
      </c>
      <c r="BG5" s="153">
        <v>5.389766578590387</v>
      </c>
      <c r="BH5" s="154">
        <v>1.9282272078290308</v>
      </c>
      <c r="BI5" s="154">
        <v>2.4946129087070843</v>
      </c>
      <c r="BJ5" s="159">
        <v>46.284247607611853</v>
      </c>
      <c r="BK5" s="153">
        <v>5.0378735573619631</v>
      </c>
      <c r="BL5" s="154">
        <v>1.8463207425756121</v>
      </c>
      <c r="BM5" s="154">
        <v>2.0545255818712715</v>
      </c>
      <c r="BN5" s="159">
        <v>40.781602763113113</v>
      </c>
      <c r="BO5" s="168">
        <v>68.392370572207085</v>
      </c>
      <c r="BP5" s="169">
        <v>5.7220708446866482</v>
      </c>
      <c r="BQ5" s="169">
        <v>5.4495912806539506</v>
      </c>
      <c r="BR5" s="169">
        <v>4.6321525885558579</v>
      </c>
      <c r="BS5" s="169">
        <v>4.0871934604904636</v>
      </c>
      <c r="BT5" s="165">
        <v>11.716621253405995</v>
      </c>
      <c r="BU5" s="168">
        <v>43.037974683544306</v>
      </c>
      <c r="BV5" s="169">
        <v>18.9873417721519</v>
      </c>
      <c r="BW5" s="169">
        <v>12.658227848101266</v>
      </c>
      <c r="BX5" s="169">
        <v>12.658227848101266</v>
      </c>
      <c r="BY5" s="169">
        <v>5.0632911392405067</v>
      </c>
      <c r="BZ5" s="165">
        <v>7.59493670886076</v>
      </c>
      <c r="CA5" s="168">
        <v>14.583333333333334</v>
      </c>
      <c r="CB5" s="169">
        <v>31.25</v>
      </c>
      <c r="CC5" s="169">
        <v>22.916666666666664</v>
      </c>
      <c r="CD5" s="169">
        <v>18.75</v>
      </c>
      <c r="CE5" s="169">
        <v>10.416666666666668</v>
      </c>
      <c r="CF5" s="165">
        <v>2.083333333333333</v>
      </c>
      <c r="CG5" s="168">
        <v>0</v>
      </c>
      <c r="CH5" s="169">
        <v>44.444444444444443</v>
      </c>
      <c r="CI5" s="169">
        <v>22.222222222222221</v>
      </c>
      <c r="CJ5" s="169">
        <v>11.111111111111111</v>
      </c>
      <c r="CK5" s="169">
        <v>0</v>
      </c>
      <c r="CL5" s="165">
        <v>22.222222222222221</v>
      </c>
      <c r="CM5" s="168">
        <v>0</v>
      </c>
      <c r="CN5" s="169">
        <v>0</v>
      </c>
      <c r="CO5" s="169">
        <v>0</v>
      </c>
      <c r="CP5" s="169">
        <v>0</v>
      </c>
      <c r="CQ5" s="169">
        <v>100</v>
      </c>
      <c r="CR5" s="165">
        <v>0</v>
      </c>
      <c r="CS5" s="168">
        <v>63.636363636363633</v>
      </c>
      <c r="CT5" s="169">
        <v>9.0909090909090917</v>
      </c>
      <c r="CU5" s="169">
        <v>6.4935064935064926</v>
      </c>
      <c r="CV5" s="169">
        <v>5.1948051948051948</v>
      </c>
      <c r="CW5" s="169">
        <v>5.1948051948051948</v>
      </c>
      <c r="CX5" s="165">
        <v>10.38961038961039</v>
      </c>
      <c r="CY5" s="168">
        <v>67.391304347826093</v>
      </c>
      <c r="CZ5" s="169">
        <v>10.869565217391305</v>
      </c>
      <c r="DA5" s="169">
        <v>4.3478260869565215</v>
      </c>
      <c r="DB5" s="169">
        <v>8.695652173913043</v>
      </c>
      <c r="DC5" s="169">
        <v>2.1739130434782608</v>
      </c>
      <c r="DD5" s="165">
        <v>6.5217391304347823</v>
      </c>
      <c r="DE5" s="168">
        <v>53.020134228187921</v>
      </c>
      <c r="DF5" s="169">
        <v>12.751677852348994</v>
      </c>
      <c r="DG5" s="169">
        <v>9.3959731543624159</v>
      </c>
      <c r="DH5" s="169">
        <v>9.3959731543624159</v>
      </c>
      <c r="DI5" s="169">
        <v>4.6979865771812079</v>
      </c>
      <c r="DJ5" s="165">
        <v>10.738255033557047</v>
      </c>
      <c r="DK5" s="168">
        <v>66.666666666666657</v>
      </c>
      <c r="DL5" s="169">
        <v>11.111111111111111</v>
      </c>
      <c r="DM5" s="169">
        <v>0</v>
      </c>
      <c r="DN5" s="169">
        <v>0</v>
      </c>
      <c r="DO5" s="169">
        <v>0</v>
      </c>
      <c r="DP5" s="165">
        <v>22.222222222222221</v>
      </c>
      <c r="DQ5" s="168">
        <v>36.363636363636367</v>
      </c>
      <c r="DR5" s="169">
        <v>18.181818181818183</v>
      </c>
      <c r="DS5" s="169">
        <v>9.0909090909090917</v>
      </c>
      <c r="DT5" s="169">
        <v>9.0909090909090917</v>
      </c>
      <c r="DU5" s="169">
        <v>9.0909090909090917</v>
      </c>
      <c r="DV5" s="165">
        <v>18.181818181818183</v>
      </c>
      <c r="DW5" s="168">
        <v>55.405405405405403</v>
      </c>
      <c r="DX5" s="169">
        <v>13.513513513513514</v>
      </c>
      <c r="DY5" s="169">
        <v>9.4594594594594597</v>
      </c>
      <c r="DZ5" s="169">
        <v>6.756756756756757</v>
      </c>
      <c r="EA5" s="169">
        <v>5.4054054054054053</v>
      </c>
      <c r="EB5" s="165">
        <v>9.4594594594594597</v>
      </c>
      <c r="EC5" s="168">
        <v>56.84210526315789</v>
      </c>
      <c r="ED5" s="169">
        <v>10.526315789473683</v>
      </c>
      <c r="EE5" s="169">
        <v>9.4736842105263168</v>
      </c>
      <c r="EF5" s="169">
        <v>6.3157894736842106</v>
      </c>
      <c r="EG5" s="169">
        <v>6.3157894736842106</v>
      </c>
      <c r="EH5" s="165">
        <v>10.526315789473683</v>
      </c>
      <c r="EI5" s="168">
        <v>65.853658536585371</v>
      </c>
      <c r="EJ5" s="169">
        <v>2.4390243902439024</v>
      </c>
      <c r="EK5" s="169">
        <v>9.7560975609756095</v>
      </c>
      <c r="EL5" s="169">
        <v>7.3170731707317067</v>
      </c>
      <c r="EM5" s="169">
        <v>4.8780487804878048</v>
      </c>
      <c r="EN5" s="165">
        <v>9.7560975609756095</v>
      </c>
      <c r="EO5" s="15"/>
    </row>
    <row r="6" spans="1:149" ht="10.5" customHeight="1" x14ac:dyDescent="0.2">
      <c r="A6" s="63" t="s">
        <v>18</v>
      </c>
      <c r="B6" s="69">
        <v>644</v>
      </c>
      <c r="C6" s="74">
        <v>39825.615028294465</v>
      </c>
      <c r="D6" s="74">
        <v>2068</v>
      </c>
      <c r="E6" s="92">
        <v>1105</v>
      </c>
      <c r="F6" s="92">
        <v>665.38429747556711</v>
      </c>
      <c r="G6" s="118">
        <v>854.65259876354173</v>
      </c>
      <c r="H6" s="123">
        <v>41.327495104620006</v>
      </c>
      <c r="I6" s="92">
        <v>51.863354037267086</v>
      </c>
      <c r="J6" s="92">
        <v>10.869565217391305</v>
      </c>
      <c r="K6" s="92">
        <v>9.1614906832298146</v>
      </c>
      <c r="L6" s="92">
        <v>8.5403726708074537</v>
      </c>
      <c r="M6" s="92">
        <v>6.0559006211180124</v>
      </c>
      <c r="N6" s="118">
        <v>13.509316770186336</v>
      </c>
      <c r="O6" s="155">
        <v>4.3879491293475006</v>
      </c>
      <c r="P6" s="156">
        <v>1.268471321891564</v>
      </c>
      <c r="Q6" s="156">
        <v>1.6008667108731234</v>
      </c>
      <c r="R6" s="160">
        <v>36.483255928520222</v>
      </c>
      <c r="S6" s="155">
        <v>5.3480678115040288</v>
      </c>
      <c r="T6" s="156">
        <v>1.5159855710691492</v>
      </c>
      <c r="U6" s="156">
        <v>2.0403274945359069</v>
      </c>
      <c r="V6" s="160">
        <v>38.150740911456552</v>
      </c>
      <c r="W6" s="155">
        <v>5.6596053900612544</v>
      </c>
      <c r="X6" s="156">
        <v>2.6091738924113619</v>
      </c>
      <c r="Y6" s="156">
        <v>3.4134490218430513</v>
      </c>
      <c r="Z6" s="160">
        <v>60.3124915358473</v>
      </c>
      <c r="AA6" s="155">
        <v>5.8585265338566979</v>
      </c>
      <c r="AB6" s="156">
        <v>2.3375467177069682</v>
      </c>
      <c r="AC6" s="156">
        <v>2.9454720359556306</v>
      </c>
      <c r="AD6" s="160">
        <v>50.27666972119372</v>
      </c>
      <c r="AE6" s="155">
        <v>5.9615238642338237</v>
      </c>
      <c r="AF6" s="156">
        <v>0.92054722169678627</v>
      </c>
      <c r="AG6" s="156">
        <v>1.0674335873614957</v>
      </c>
      <c r="AH6" s="160">
        <v>17.905381437212156</v>
      </c>
      <c r="AI6" s="155">
        <v>5.1866291078293161</v>
      </c>
      <c r="AJ6" s="156">
        <v>1.5070928880896137</v>
      </c>
      <c r="AK6" s="156">
        <v>1.8710246565181963</v>
      </c>
      <c r="AL6" s="160">
        <v>36.074001391266798</v>
      </c>
      <c r="AM6" s="155">
        <v>5.3582610188133701</v>
      </c>
      <c r="AN6" s="156">
        <v>1.1848645411723246</v>
      </c>
      <c r="AO6" s="156">
        <v>1.4929444813783002</v>
      </c>
      <c r="AP6" s="160">
        <v>27.862481430755771</v>
      </c>
      <c r="AQ6" s="155">
        <v>5.2196653921638418</v>
      </c>
      <c r="AR6" s="156">
        <v>1.8131547736464355</v>
      </c>
      <c r="AS6" s="156">
        <v>2.3819310099888589</v>
      </c>
      <c r="AT6" s="160">
        <v>45.633787437117995</v>
      </c>
      <c r="AU6" s="155">
        <v>5.308307702363706</v>
      </c>
      <c r="AV6" s="156">
        <v>0.81220008560756152</v>
      </c>
      <c r="AW6" s="156">
        <v>0.87855393188710795</v>
      </c>
      <c r="AX6" s="160">
        <v>16.550546448087431</v>
      </c>
      <c r="AY6" s="155">
        <v>5.560034798532242</v>
      </c>
      <c r="AZ6" s="156">
        <v>1.496048305394776</v>
      </c>
      <c r="BA6" s="156">
        <v>1.9412971288992875</v>
      </c>
      <c r="BB6" s="160">
        <v>34.91519746264462</v>
      </c>
      <c r="BC6" s="155">
        <v>5.0548000461347176</v>
      </c>
      <c r="BD6" s="156">
        <v>1.4570861912446795</v>
      </c>
      <c r="BE6" s="156">
        <v>1.8547872544752657</v>
      </c>
      <c r="BF6" s="160">
        <v>36.693583080374786</v>
      </c>
      <c r="BG6" s="155">
        <v>5.3215918976547583</v>
      </c>
      <c r="BH6" s="156">
        <v>2.279967045916889</v>
      </c>
      <c r="BI6" s="156">
        <v>2.9101771822458171</v>
      </c>
      <c r="BJ6" s="160">
        <v>54.686214918666366</v>
      </c>
      <c r="BK6" s="155">
        <v>4.760799245155253</v>
      </c>
      <c r="BL6" s="156">
        <v>1.5193706924834649</v>
      </c>
      <c r="BM6" s="156">
        <v>1.9656754274943715</v>
      </c>
      <c r="BN6" s="160">
        <v>41.288769516897986</v>
      </c>
      <c r="BO6" s="170">
        <v>62.938596491228068</v>
      </c>
      <c r="BP6" s="171">
        <v>5.4824561403508767</v>
      </c>
      <c r="BQ6" s="171">
        <v>6.140350877192982</v>
      </c>
      <c r="BR6" s="171">
        <v>6.7982456140350882</v>
      </c>
      <c r="BS6" s="171">
        <v>5.2631578947368416</v>
      </c>
      <c r="BT6" s="166">
        <v>13.37719298245614</v>
      </c>
      <c r="BU6" s="170">
        <v>33.043478260869563</v>
      </c>
      <c r="BV6" s="171">
        <v>19.130434782608695</v>
      </c>
      <c r="BW6" s="171">
        <v>13.043478260869565</v>
      </c>
      <c r="BX6" s="171">
        <v>11.304347826086957</v>
      </c>
      <c r="BY6" s="171">
        <v>9.5652173913043477</v>
      </c>
      <c r="BZ6" s="166">
        <v>13.913043478260869</v>
      </c>
      <c r="CA6" s="170">
        <v>16.981132075471699</v>
      </c>
      <c r="CB6" s="171">
        <v>24.528301886792452</v>
      </c>
      <c r="CC6" s="171">
        <v>18.867924528301888</v>
      </c>
      <c r="CD6" s="171">
        <v>18.867924528301888</v>
      </c>
      <c r="CE6" s="171">
        <v>3.7735849056603774</v>
      </c>
      <c r="CF6" s="166">
        <v>16.981132075471699</v>
      </c>
      <c r="CG6" s="170">
        <v>0</v>
      </c>
      <c r="CH6" s="171">
        <v>40</v>
      </c>
      <c r="CI6" s="171">
        <v>33.333333333333329</v>
      </c>
      <c r="CJ6" s="171">
        <v>6.666666666666667</v>
      </c>
      <c r="CK6" s="171">
        <v>13.333333333333334</v>
      </c>
      <c r="CL6" s="166">
        <v>6.666666666666667</v>
      </c>
      <c r="CM6" s="170">
        <v>0</v>
      </c>
      <c r="CN6" s="171">
        <v>80</v>
      </c>
      <c r="CO6" s="171">
        <v>20</v>
      </c>
      <c r="CP6" s="171">
        <v>0</v>
      </c>
      <c r="CQ6" s="171">
        <v>0</v>
      </c>
      <c r="CR6" s="166">
        <v>0</v>
      </c>
      <c r="CS6" s="170">
        <v>47.368421052631575</v>
      </c>
      <c r="CT6" s="171">
        <v>17.105263157894736</v>
      </c>
      <c r="CU6" s="171">
        <v>7.8947368421052628</v>
      </c>
      <c r="CV6" s="171">
        <v>7.8947368421052628</v>
      </c>
      <c r="CW6" s="171">
        <v>7.8947368421052628</v>
      </c>
      <c r="CX6" s="166">
        <v>11.842105263157894</v>
      </c>
      <c r="CY6" s="170">
        <v>66.666666666666657</v>
      </c>
      <c r="CZ6" s="171">
        <v>5.5555555555555554</v>
      </c>
      <c r="DA6" s="171">
        <v>1.8518518518518516</v>
      </c>
      <c r="DB6" s="171">
        <v>5.5555555555555554</v>
      </c>
      <c r="DC6" s="171">
        <v>7.4074074074074066</v>
      </c>
      <c r="DD6" s="166">
        <v>12.962962962962962</v>
      </c>
      <c r="DE6" s="170">
        <v>48.936170212765958</v>
      </c>
      <c r="DF6" s="171">
        <v>9.5744680851063837</v>
      </c>
      <c r="DG6" s="171">
        <v>9.5744680851063837</v>
      </c>
      <c r="DH6" s="171">
        <v>7.4468085106382977</v>
      </c>
      <c r="DI6" s="171">
        <v>6.9148936170212769</v>
      </c>
      <c r="DJ6" s="166">
        <v>17.553191489361701</v>
      </c>
      <c r="DK6" s="170">
        <v>66.666666666666657</v>
      </c>
      <c r="DL6" s="171">
        <v>11.111111111111111</v>
      </c>
      <c r="DM6" s="171">
        <v>11.111111111111111</v>
      </c>
      <c r="DN6" s="171">
        <v>11.111111111111111</v>
      </c>
      <c r="DO6" s="171">
        <v>0</v>
      </c>
      <c r="DP6" s="166">
        <v>0</v>
      </c>
      <c r="DQ6" s="170">
        <v>42.857142857142854</v>
      </c>
      <c r="DR6" s="171">
        <v>23.809523809523807</v>
      </c>
      <c r="DS6" s="171">
        <v>4.7619047619047619</v>
      </c>
      <c r="DT6" s="171">
        <v>19.047619047619047</v>
      </c>
      <c r="DU6" s="171">
        <v>9.5238095238095237</v>
      </c>
      <c r="DV6" s="166">
        <v>0</v>
      </c>
      <c r="DW6" s="170">
        <v>55.670103092783506</v>
      </c>
      <c r="DX6" s="171">
        <v>11.340206185567011</v>
      </c>
      <c r="DY6" s="171">
        <v>11.340206185567011</v>
      </c>
      <c r="DZ6" s="171">
        <v>8.2474226804123703</v>
      </c>
      <c r="EA6" s="171">
        <v>3.0927835051546393</v>
      </c>
      <c r="EB6" s="166">
        <v>10.309278350515463</v>
      </c>
      <c r="EC6" s="170">
        <v>53.333333333333336</v>
      </c>
      <c r="ED6" s="171">
        <v>13.333333333333334</v>
      </c>
      <c r="EE6" s="171">
        <v>10</v>
      </c>
      <c r="EF6" s="171">
        <v>7.7777777777777777</v>
      </c>
      <c r="EG6" s="171">
        <v>4.4444444444444446</v>
      </c>
      <c r="EH6" s="166">
        <v>11.111111111111111</v>
      </c>
      <c r="EI6" s="170">
        <v>48.148148148148145</v>
      </c>
      <c r="EJ6" s="171">
        <v>6.481481481481481</v>
      </c>
      <c r="EK6" s="171">
        <v>11.111111111111111</v>
      </c>
      <c r="EL6" s="171">
        <v>11.111111111111111</v>
      </c>
      <c r="EM6" s="171">
        <v>6.481481481481481</v>
      </c>
      <c r="EN6" s="166">
        <v>16.666666666666664</v>
      </c>
    </row>
    <row r="7" spans="1:149" ht="10.5" customHeight="1" x14ac:dyDescent="0.2">
      <c r="A7" s="63" t="s">
        <v>19</v>
      </c>
      <c r="B7" s="69">
        <v>241</v>
      </c>
      <c r="C7" s="74">
        <v>13299.873393396223</v>
      </c>
      <c r="D7" s="74">
        <v>680</v>
      </c>
      <c r="E7" s="92">
        <v>280</v>
      </c>
      <c r="F7" s="92">
        <v>183.85679100963677</v>
      </c>
      <c r="G7" s="118">
        <v>225.49345428161729</v>
      </c>
      <c r="H7" s="123">
        <v>33.160802100237838</v>
      </c>
      <c r="I7" s="92">
        <v>54.356846473029044</v>
      </c>
      <c r="J7" s="92">
        <v>12.033195020746888</v>
      </c>
      <c r="K7" s="92">
        <v>8.7136929460580905</v>
      </c>
      <c r="L7" s="92">
        <v>6.2240663900414939</v>
      </c>
      <c r="M7" s="92">
        <v>8.7136929460580905</v>
      </c>
      <c r="N7" s="118">
        <v>9.9585062240663902</v>
      </c>
      <c r="O7" s="155">
        <v>4.3710597962597264</v>
      </c>
      <c r="P7" s="156">
        <v>1.0877964026824969</v>
      </c>
      <c r="Q7" s="156">
        <v>1.3378289105429364</v>
      </c>
      <c r="R7" s="160">
        <v>30.606511301623097</v>
      </c>
      <c r="S7" s="155">
        <v>5.4385182211284846</v>
      </c>
      <c r="T7" s="156">
        <v>1.0927298202130251</v>
      </c>
      <c r="U7" s="156">
        <v>1.3194530984690913</v>
      </c>
      <c r="V7" s="160">
        <v>24.261260968898743</v>
      </c>
      <c r="W7" s="155">
        <v>5.6821344012241877</v>
      </c>
      <c r="X7" s="156">
        <v>2.2758182407802834</v>
      </c>
      <c r="Y7" s="156">
        <v>2.7985114560329034</v>
      </c>
      <c r="Z7" s="160">
        <v>49.251060577341825</v>
      </c>
      <c r="AA7" s="155">
        <v>5.8392896530783149</v>
      </c>
      <c r="AB7" s="156">
        <v>1.3858759302299022</v>
      </c>
      <c r="AC7" s="156">
        <v>1.6695150816038642</v>
      </c>
      <c r="AD7" s="160">
        <v>28.591064680679807</v>
      </c>
      <c r="AE7" s="155">
        <v>5.9928667084736409</v>
      </c>
      <c r="AF7" s="156">
        <v>0.68302774351065687</v>
      </c>
      <c r="AG7" s="156">
        <v>0.93144399817103973</v>
      </c>
      <c r="AH7" s="160">
        <v>15.542544886807184</v>
      </c>
      <c r="AI7" s="155">
        <v>4.9496287899479459</v>
      </c>
      <c r="AJ7" s="156">
        <v>1.0865617323533585</v>
      </c>
      <c r="AK7" s="156">
        <v>1.3145622567101136</v>
      </c>
      <c r="AL7" s="160">
        <v>26.558804962905885</v>
      </c>
      <c r="AM7" s="155">
        <v>5.3877960395840763</v>
      </c>
      <c r="AN7" s="156">
        <v>0.94861866298463315</v>
      </c>
      <c r="AO7" s="156">
        <v>1.2862480823802449</v>
      </c>
      <c r="AP7" s="160">
        <v>23.873362557346177</v>
      </c>
      <c r="AQ7" s="155">
        <v>4.8030048682660427</v>
      </c>
      <c r="AR7" s="156">
        <v>1.2935679725685509</v>
      </c>
      <c r="AS7" s="156">
        <v>1.5487752949093347</v>
      </c>
      <c r="AT7" s="160">
        <v>32.245965544242019</v>
      </c>
      <c r="AU7" s="155">
        <v>5.7375764226367769</v>
      </c>
      <c r="AV7" s="156">
        <v>1.1130271202382818</v>
      </c>
      <c r="AW7" s="156">
        <v>1.3520928045148142</v>
      </c>
      <c r="AX7" s="160">
        <v>23.565573770491806</v>
      </c>
      <c r="AY7" s="155">
        <v>5.6064785341991632</v>
      </c>
      <c r="AZ7" s="156">
        <v>1.1920381582897375</v>
      </c>
      <c r="BA7" s="156">
        <v>1.4900476978621717</v>
      </c>
      <c r="BB7" s="160">
        <v>26.577247888723299</v>
      </c>
      <c r="BC7" s="155">
        <v>5.0338036143434204</v>
      </c>
      <c r="BD7" s="156">
        <v>0.92046515086375658</v>
      </c>
      <c r="BE7" s="156">
        <v>1.1990684770144189</v>
      </c>
      <c r="BF7" s="160">
        <v>23.820326911398954</v>
      </c>
      <c r="BG7" s="155">
        <v>5.3861195344569746</v>
      </c>
      <c r="BH7" s="156">
        <v>2.3739946263505045</v>
      </c>
      <c r="BI7" s="156">
        <v>2.807990409804257</v>
      </c>
      <c r="BJ7" s="160">
        <v>52.133830150640307</v>
      </c>
      <c r="BK7" s="155">
        <v>4.6248150305940463</v>
      </c>
      <c r="BL7" s="156">
        <v>1.0597550617002294</v>
      </c>
      <c r="BM7" s="156">
        <v>1.2922160825379463</v>
      </c>
      <c r="BN7" s="160">
        <v>27.940924642168106</v>
      </c>
      <c r="BO7" s="170">
        <v>62.430939226519335</v>
      </c>
      <c r="BP7" s="171">
        <v>7.1823204419889501</v>
      </c>
      <c r="BQ7" s="171">
        <v>5.5248618784530388</v>
      </c>
      <c r="BR7" s="171">
        <v>4.4198895027624303</v>
      </c>
      <c r="BS7" s="171">
        <v>8.8397790055248606</v>
      </c>
      <c r="BT7" s="166">
        <v>11.602209944751381</v>
      </c>
      <c r="BU7" s="170">
        <v>39.393939393939391</v>
      </c>
      <c r="BV7" s="171">
        <v>21.212121212121211</v>
      </c>
      <c r="BW7" s="171">
        <v>21.212121212121211</v>
      </c>
      <c r="BX7" s="171">
        <v>12.121212121212121</v>
      </c>
      <c r="BY7" s="171">
        <v>6.0606060606060606</v>
      </c>
      <c r="BZ7" s="166">
        <v>0</v>
      </c>
      <c r="CA7" s="170">
        <v>19.047619047619047</v>
      </c>
      <c r="CB7" s="171">
        <v>28.571428571428569</v>
      </c>
      <c r="CC7" s="171">
        <v>14.285714285714285</v>
      </c>
      <c r="CD7" s="171">
        <v>9.5238095238095237</v>
      </c>
      <c r="CE7" s="171">
        <v>14.285714285714285</v>
      </c>
      <c r="CF7" s="166">
        <v>14.285714285714285</v>
      </c>
      <c r="CG7" s="170">
        <v>20</v>
      </c>
      <c r="CH7" s="171">
        <v>40</v>
      </c>
      <c r="CI7" s="171">
        <v>20</v>
      </c>
      <c r="CJ7" s="171">
        <v>20</v>
      </c>
      <c r="CK7" s="171">
        <v>0</v>
      </c>
      <c r="CL7" s="166">
        <v>0</v>
      </c>
      <c r="CM7" s="170">
        <v>0</v>
      </c>
      <c r="CN7" s="171">
        <v>100</v>
      </c>
      <c r="CO7" s="171">
        <v>0</v>
      </c>
      <c r="CP7" s="171">
        <v>0</v>
      </c>
      <c r="CQ7" s="171">
        <v>0</v>
      </c>
      <c r="CR7" s="166">
        <v>0</v>
      </c>
      <c r="CS7" s="170">
        <v>66.666666666666657</v>
      </c>
      <c r="CT7" s="171">
        <v>7.6923076923076925</v>
      </c>
      <c r="CU7" s="171">
        <v>5.1282051282051277</v>
      </c>
      <c r="CV7" s="171">
        <v>5.1282051282051277</v>
      </c>
      <c r="CW7" s="171">
        <v>5.1282051282051277</v>
      </c>
      <c r="CX7" s="166">
        <v>10.256410256410255</v>
      </c>
      <c r="CY7" s="170">
        <v>56.756756756756758</v>
      </c>
      <c r="CZ7" s="171">
        <v>13.513513513513514</v>
      </c>
      <c r="DA7" s="171">
        <v>8.1081081081081088</v>
      </c>
      <c r="DB7" s="171">
        <v>8.1081081081081088</v>
      </c>
      <c r="DC7" s="171">
        <v>8.1081081081081088</v>
      </c>
      <c r="DD7" s="166">
        <v>5.4054054054054053</v>
      </c>
      <c r="DE7" s="170">
        <v>49.275362318840585</v>
      </c>
      <c r="DF7" s="171">
        <v>17.391304347826086</v>
      </c>
      <c r="DG7" s="171">
        <v>4.3478260869565215</v>
      </c>
      <c r="DH7" s="171">
        <v>7.2463768115942031</v>
      </c>
      <c r="DI7" s="171">
        <v>10.144927536231885</v>
      </c>
      <c r="DJ7" s="166">
        <v>11.594202898550725</v>
      </c>
      <c r="DK7" s="170">
        <v>0</v>
      </c>
      <c r="DL7" s="171">
        <v>100</v>
      </c>
      <c r="DM7" s="171">
        <v>0</v>
      </c>
      <c r="DN7" s="171">
        <v>0</v>
      </c>
      <c r="DO7" s="171">
        <v>0</v>
      </c>
      <c r="DP7" s="166">
        <v>0</v>
      </c>
      <c r="DQ7" s="170">
        <v>33.333333333333329</v>
      </c>
      <c r="DR7" s="171">
        <v>33.333333333333329</v>
      </c>
      <c r="DS7" s="171">
        <v>0</v>
      </c>
      <c r="DT7" s="171">
        <v>33.333333333333329</v>
      </c>
      <c r="DU7" s="171">
        <v>0</v>
      </c>
      <c r="DV7" s="166">
        <v>0</v>
      </c>
      <c r="DW7" s="170">
        <v>63.414634146341463</v>
      </c>
      <c r="DX7" s="171">
        <v>4.8780487804878048</v>
      </c>
      <c r="DY7" s="171">
        <v>17.073170731707318</v>
      </c>
      <c r="DZ7" s="171">
        <v>2.4390243902439024</v>
      </c>
      <c r="EA7" s="171">
        <v>4.8780487804878048</v>
      </c>
      <c r="EB7" s="166">
        <v>7.3170731707317067</v>
      </c>
      <c r="EC7" s="170">
        <v>38.461538461538467</v>
      </c>
      <c r="ED7" s="171">
        <v>10.256410256410255</v>
      </c>
      <c r="EE7" s="171">
        <v>15.384615384615385</v>
      </c>
      <c r="EF7" s="171">
        <v>7.6923076923076925</v>
      </c>
      <c r="EG7" s="171">
        <v>12.820512820512819</v>
      </c>
      <c r="EH7" s="166">
        <v>15.384615384615385</v>
      </c>
      <c r="EI7" s="170">
        <v>66.666666666666657</v>
      </c>
      <c r="EJ7" s="171">
        <v>8.3333333333333321</v>
      </c>
      <c r="EK7" s="171">
        <v>0</v>
      </c>
      <c r="EL7" s="171">
        <v>0</v>
      </c>
      <c r="EM7" s="171">
        <v>16.666666666666664</v>
      </c>
      <c r="EN7" s="166">
        <v>8.3333333333333321</v>
      </c>
    </row>
    <row r="8" spans="1:149" ht="10.5" customHeight="1" x14ac:dyDescent="0.2">
      <c r="A8" s="63" t="s">
        <v>20</v>
      </c>
      <c r="B8" s="69">
        <v>1094</v>
      </c>
      <c r="C8" s="74">
        <v>74703.814856583398</v>
      </c>
      <c r="D8" s="74">
        <v>3929</v>
      </c>
      <c r="E8" s="92">
        <v>2475</v>
      </c>
      <c r="F8" s="92">
        <v>1668.3148677525071</v>
      </c>
      <c r="G8" s="118">
        <v>2081.8115389294485</v>
      </c>
      <c r="H8" s="123">
        <v>52.985786177893822</v>
      </c>
      <c r="I8" s="92">
        <v>48.720292504570381</v>
      </c>
      <c r="J8" s="92">
        <v>10.786106032906764</v>
      </c>
      <c r="K8" s="92">
        <v>9.963436928702011</v>
      </c>
      <c r="L8" s="92">
        <v>10.420475319926874</v>
      </c>
      <c r="M8" s="92">
        <v>5.1188299817184646</v>
      </c>
      <c r="N8" s="118">
        <v>14.990859232175502</v>
      </c>
      <c r="O8" s="155">
        <v>4.3723729974302676</v>
      </c>
      <c r="P8" s="156">
        <v>1.5966030495057764</v>
      </c>
      <c r="Q8" s="156">
        <v>1.9914584490915002</v>
      </c>
      <c r="R8" s="160">
        <v>45.546398952283361</v>
      </c>
      <c r="S8" s="155">
        <v>5.2953297089425648</v>
      </c>
      <c r="T8" s="156">
        <v>1.7794971565413451</v>
      </c>
      <c r="U8" s="156">
        <v>2.1786902358247042</v>
      </c>
      <c r="V8" s="160">
        <v>41.14361816121496</v>
      </c>
      <c r="W8" s="155">
        <v>5.6751512837571232</v>
      </c>
      <c r="X8" s="156">
        <v>2.3580459228995614</v>
      </c>
      <c r="Y8" s="156">
        <v>2.9599360276497175</v>
      </c>
      <c r="Z8" s="160">
        <v>52.156072669311293</v>
      </c>
      <c r="AA8" s="155">
        <v>5.8384381139220229</v>
      </c>
      <c r="AB8" s="156">
        <v>2.3978381910406434</v>
      </c>
      <c r="AC8" s="156">
        <v>3.0181048720002077</v>
      </c>
      <c r="AD8" s="160">
        <v>51.693703232092126</v>
      </c>
      <c r="AE8" s="155">
        <v>5.9343601693278298</v>
      </c>
      <c r="AF8" s="156">
        <v>3.6638094390807332</v>
      </c>
      <c r="AG8" s="156">
        <v>4.5818841857004955</v>
      </c>
      <c r="AH8" s="160">
        <v>77.209405141640971</v>
      </c>
      <c r="AI8" s="155">
        <v>5.0386485762149205</v>
      </c>
      <c r="AJ8" s="156">
        <v>2.2866021970378694</v>
      </c>
      <c r="AK8" s="156">
        <v>2.9254187282543938</v>
      </c>
      <c r="AL8" s="160">
        <v>58.059590463679356</v>
      </c>
      <c r="AM8" s="155">
        <v>5.0994839156664229</v>
      </c>
      <c r="AN8" s="156">
        <v>1.2085944152264303</v>
      </c>
      <c r="AO8" s="156">
        <v>1.5770597566971591</v>
      </c>
      <c r="AP8" s="160">
        <v>30.925869809142487</v>
      </c>
      <c r="AQ8" s="155">
        <v>5.1912822377591885</v>
      </c>
      <c r="AR8" s="156">
        <v>1.992301782243705</v>
      </c>
      <c r="AS8" s="156">
        <v>2.4439820039054707</v>
      </c>
      <c r="AT8" s="160">
        <v>47.07858082014846</v>
      </c>
      <c r="AU8" s="155">
        <v>5.2192443057896085</v>
      </c>
      <c r="AV8" s="156">
        <v>1.504181359426962</v>
      </c>
      <c r="AW8" s="156">
        <v>1.8255769809121105</v>
      </c>
      <c r="AX8" s="160">
        <v>34.977802799670307</v>
      </c>
      <c r="AY8" s="155">
        <v>5.5744722798939641</v>
      </c>
      <c r="AZ8" s="156">
        <v>3.1110690402023646</v>
      </c>
      <c r="BA8" s="156">
        <v>3.9687592597314048</v>
      </c>
      <c r="BB8" s="160">
        <v>71.195246123044626</v>
      </c>
      <c r="BC8" s="155">
        <v>5.0749996209219423</v>
      </c>
      <c r="BD8" s="156">
        <v>1.6202451437812551</v>
      </c>
      <c r="BE8" s="156">
        <v>1.933785724259043</v>
      </c>
      <c r="BF8" s="160">
        <v>38.10415504834549</v>
      </c>
      <c r="BG8" s="155">
        <v>5.6210312856692903</v>
      </c>
      <c r="BH8" s="156">
        <v>2.8846945412431131</v>
      </c>
      <c r="BI8" s="156">
        <v>3.5988880511968113</v>
      </c>
      <c r="BJ8" s="160">
        <v>64.025405095540151</v>
      </c>
      <c r="BK8" s="155">
        <v>5.1308777033148134</v>
      </c>
      <c r="BL8" s="156">
        <v>4.4580538388250757</v>
      </c>
      <c r="BM8" s="156">
        <v>5.734364113056424</v>
      </c>
      <c r="BN8" s="160">
        <v>111.76185527383993</v>
      </c>
      <c r="BO8" s="170">
        <v>62.550335570469798</v>
      </c>
      <c r="BP8" s="171">
        <v>6.174496644295302</v>
      </c>
      <c r="BQ8" s="171">
        <v>4.6979865771812079</v>
      </c>
      <c r="BR8" s="171">
        <v>7.2483221476510069</v>
      </c>
      <c r="BS8" s="171">
        <v>3.4899328859060401</v>
      </c>
      <c r="BT8" s="166">
        <v>15.838926174496645</v>
      </c>
      <c r="BU8" s="170">
        <v>26.600985221674879</v>
      </c>
      <c r="BV8" s="171">
        <v>20.19704433497537</v>
      </c>
      <c r="BW8" s="171">
        <v>20.19704433497537</v>
      </c>
      <c r="BX8" s="171">
        <v>13.300492610837439</v>
      </c>
      <c r="BY8" s="171">
        <v>7.389162561576355</v>
      </c>
      <c r="BZ8" s="166">
        <v>12.315270935960591</v>
      </c>
      <c r="CA8" s="170">
        <v>10.185185185185185</v>
      </c>
      <c r="CB8" s="171">
        <v>23.148148148148149</v>
      </c>
      <c r="CC8" s="171">
        <v>24.074074074074073</v>
      </c>
      <c r="CD8" s="171">
        <v>19.444444444444446</v>
      </c>
      <c r="CE8" s="171">
        <v>10.185185185185185</v>
      </c>
      <c r="CF8" s="166">
        <v>12.962962962962962</v>
      </c>
      <c r="CG8" s="170">
        <v>4.1666666666666661</v>
      </c>
      <c r="CH8" s="171">
        <v>16.666666666666664</v>
      </c>
      <c r="CI8" s="171">
        <v>16.666666666666664</v>
      </c>
      <c r="CJ8" s="171">
        <v>45.833333333333329</v>
      </c>
      <c r="CK8" s="171">
        <v>8.3333333333333321</v>
      </c>
      <c r="CL8" s="166">
        <v>8.3333333333333321</v>
      </c>
      <c r="CM8" s="170">
        <v>7.1428571428571423</v>
      </c>
      <c r="CN8" s="171">
        <v>14.285714285714285</v>
      </c>
      <c r="CO8" s="171">
        <v>21.428571428571427</v>
      </c>
      <c r="CP8" s="171">
        <v>7.1428571428571423</v>
      </c>
      <c r="CQ8" s="171">
        <v>14.285714285714285</v>
      </c>
      <c r="CR8" s="166">
        <v>35.714285714285715</v>
      </c>
      <c r="CS8" s="170">
        <v>45.238095238095241</v>
      </c>
      <c r="CT8" s="171">
        <v>5.3571428571428568</v>
      </c>
      <c r="CU8" s="171">
        <v>11.30952380952381</v>
      </c>
      <c r="CV8" s="171">
        <v>11.904761904761903</v>
      </c>
      <c r="CW8" s="171">
        <v>3.5714285714285712</v>
      </c>
      <c r="CX8" s="166">
        <v>22.61904761904762</v>
      </c>
      <c r="CY8" s="170">
        <v>63.235294117647058</v>
      </c>
      <c r="CZ8" s="171">
        <v>10.294117647058822</v>
      </c>
      <c r="DA8" s="171">
        <v>3.6764705882352944</v>
      </c>
      <c r="DB8" s="171">
        <v>9.5588235294117645</v>
      </c>
      <c r="DC8" s="171">
        <v>3.6764705882352944</v>
      </c>
      <c r="DD8" s="166">
        <v>9.5588235294117645</v>
      </c>
      <c r="DE8" s="170">
        <v>49.104859335038363</v>
      </c>
      <c r="DF8" s="171">
        <v>11.508951406649617</v>
      </c>
      <c r="DG8" s="171">
        <v>9.7186700767263421</v>
      </c>
      <c r="DH8" s="171">
        <v>10.230179028132993</v>
      </c>
      <c r="DI8" s="171">
        <v>6.1381074168797953</v>
      </c>
      <c r="DJ8" s="166">
        <v>13.299232736572892</v>
      </c>
      <c r="DK8" s="170">
        <v>60.869565217391312</v>
      </c>
      <c r="DL8" s="171">
        <v>13.043478260869565</v>
      </c>
      <c r="DM8" s="171">
        <v>13.043478260869565</v>
      </c>
      <c r="DN8" s="171">
        <v>8.695652173913043</v>
      </c>
      <c r="DO8" s="171">
        <v>0</v>
      </c>
      <c r="DP8" s="166">
        <v>4.3478260869565215</v>
      </c>
      <c r="DQ8" s="170">
        <v>42.857142857142854</v>
      </c>
      <c r="DR8" s="171">
        <v>14.285714285714285</v>
      </c>
      <c r="DS8" s="171">
        <v>8.5714285714285712</v>
      </c>
      <c r="DT8" s="171">
        <v>14.285714285714285</v>
      </c>
      <c r="DU8" s="171">
        <v>2.8571428571428572</v>
      </c>
      <c r="DV8" s="166">
        <v>17.142857142857142</v>
      </c>
      <c r="DW8" s="170">
        <v>47.486033519553075</v>
      </c>
      <c r="DX8" s="171">
        <v>12.290502793296088</v>
      </c>
      <c r="DY8" s="171">
        <v>9.4972067039106136</v>
      </c>
      <c r="DZ8" s="171">
        <v>10.05586592178771</v>
      </c>
      <c r="EA8" s="171">
        <v>3.9106145251396649</v>
      </c>
      <c r="EB8" s="166">
        <v>16.759776536312849</v>
      </c>
      <c r="EC8" s="170">
        <v>35.398230088495573</v>
      </c>
      <c r="ED8" s="171">
        <v>15.044247787610621</v>
      </c>
      <c r="EE8" s="171">
        <v>14.159292035398231</v>
      </c>
      <c r="EF8" s="171">
        <v>11.504424778761061</v>
      </c>
      <c r="EG8" s="171">
        <v>7.9646017699115044</v>
      </c>
      <c r="EH8" s="166">
        <v>15.929203539823009</v>
      </c>
      <c r="EI8" s="170">
        <v>51.020408163265309</v>
      </c>
      <c r="EJ8" s="171">
        <v>6.1224489795918364</v>
      </c>
      <c r="EK8" s="171">
        <v>16.326530612244898</v>
      </c>
      <c r="EL8" s="171">
        <v>6.1224489795918364</v>
      </c>
      <c r="EM8" s="171">
        <v>8.1632653061224492</v>
      </c>
      <c r="EN8" s="166">
        <v>12.244897959183673</v>
      </c>
    </row>
    <row r="9" spans="1:149" ht="10.5" customHeight="1" x14ac:dyDescent="0.2">
      <c r="A9" s="63" t="s">
        <v>21</v>
      </c>
      <c r="B9" s="69">
        <v>27420</v>
      </c>
      <c r="C9" s="74">
        <v>4673598.2447597384</v>
      </c>
      <c r="D9" s="74">
        <v>266822</v>
      </c>
      <c r="E9" s="92">
        <v>195783</v>
      </c>
      <c r="F9" s="92">
        <v>137528.8243839202</v>
      </c>
      <c r="G9" s="118">
        <v>176704.32784829038</v>
      </c>
      <c r="H9" s="123">
        <v>66.225546562236389</v>
      </c>
      <c r="I9" s="92">
        <v>47.363238512035011</v>
      </c>
      <c r="J9" s="92">
        <v>12.326768781911014</v>
      </c>
      <c r="K9" s="92">
        <v>10.802334062727937</v>
      </c>
      <c r="L9" s="92">
        <v>9.0043763676148796</v>
      </c>
      <c r="M9" s="92">
        <v>6.6119620714806704</v>
      </c>
      <c r="N9" s="118">
        <v>13.891320204230489</v>
      </c>
      <c r="O9" s="155">
        <v>4.3722078773891093</v>
      </c>
      <c r="P9" s="156">
        <v>1.301925558538789</v>
      </c>
      <c r="Q9" s="156">
        <v>1.6336823738415143</v>
      </c>
      <c r="R9" s="160">
        <v>37.365157825411487</v>
      </c>
      <c r="S9" s="155">
        <v>5.3359325094502825</v>
      </c>
      <c r="T9" s="156">
        <v>1.8034380746104688</v>
      </c>
      <c r="U9" s="156">
        <v>2.2730280215049143</v>
      </c>
      <c r="V9" s="160">
        <v>42.598515207589948</v>
      </c>
      <c r="W9" s="155">
        <v>5.6851317599386775</v>
      </c>
      <c r="X9" s="156">
        <v>1.9883926212639256</v>
      </c>
      <c r="Y9" s="156">
        <v>2.5338594769510339</v>
      </c>
      <c r="Z9" s="160">
        <v>44.569934065668257</v>
      </c>
      <c r="AA9" s="155">
        <v>5.8599953433619074</v>
      </c>
      <c r="AB9" s="156">
        <v>2.413502148891931</v>
      </c>
      <c r="AC9" s="156">
        <v>3.0844940854835223</v>
      </c>
      <c r="AD9" s="160">
        <v>52.636459668480441</v>
      </c>
      <c r="AE9" s="155">
        <v>5.975033337344434</v>
      </c>
      <c r="AF9" s="156">
        <v>3.6388366546303077</v>
      </c>
      <c r="AG9" s="156">
        <v>4.6942571122499421</v>
      </c>
      <c r="AH9" s="160">
        <v>78.564534241348269</v>
      </c>
      <c r="AI9" s="155">
        <v>5.8301274928424043</v>
      </c>
      <c r="AJ9" s="156">
        <v>3.9313817309177503</v>
      </c>
      <c r="AK9" s="156">
        <v>5.1533932874864625</v>
      </c>
      <c r="AL9" s="160">
        <v>88.392463008969145</v>
      </c>
      <c r="AM9" s="155">
        <v>5.5210494847391436</v>
      </c>
      <c r="AN9" s="156">
        <v>2.2913881622707821</v>
      </c>
      <c r="AO9" s="156">
        <v>2.97175436732807</v>
      </c>
      <c r="AP9" s="160">
        <v>53.825896245675075</v>
      </c>
      <c r="AQ9" s="155">
        <v>5.7339025698725719</v>
      </c>
      <c r="AR9" s="156">
        <v>3.4623383665087388</v>
      </c>
      <c r="AS9" s="156">
        <v>4.4452220313373401</v>
      </c>
      <c r="AT9" s="160">
        <v>77.525245278733934</v>
      </c>
      <c r="AU9" s="155">
        <v>5.6708688227285</v>
      </c>
      <c r="AV9" s="156">
        <v>1.7260390264390202</v>
      </c>
      <c r="AW9" s="156">
        <v>2.1360953892499124</v>
      </c>
      <c r="AX9" s="160">
        <v>37.667868117290446</v>
      </c>
      <c r="AY9" s="155">
        <v>5.7678461753726245</v>
      </c>
      <c r="AZ9" s="156">
        <v>3.0317260691965076</v>
      </c>
      <c r="BA9" s="156">
        <v>3.8787175793571804</v>
      </c>
      <c r="BB9" s="160">
        <v>67.247243796452324</v>
      </c>
      <c r="BC9" s="155">
        <v>5.6490968888078754</v>
      </c>
      <c r="BD9" s="156">
        <v>2.0220015184165483</v>
      </c>
      <c r="BE9" s="156">
        <v>2.5679064279672943</v>
      </c>
      <c r="BF9" s="160">
        <v>45.45693725053453</v>
      </c>
      <c r="BG9" s="155">
        <v>5.686151835393134</v>
      </c>
      <c r="BH9" s="156">
        <v>3.0512755524914228</v>
      </c>
      <c r="BI9" s="156">
        <v>3.899116690537916</v>
      </c>
      <c r="BJ9" s="160">
        <v>68.572152193827861</v>
      </c>
      <c r="BK9" s="155">
        <v>5.5135612020538929</v>
      </c>
      <c r="BL9" s="156">
        <v>2.5550235064358522</v>
      </c>
      <c r="BM9" s="156">
        <v>3.2658652550934675</v>
      </c>
      <c r="BN9" s="160">
        <v>59.233318274890635</v>
      </c>
      <c r="BO9" s="170">
        <v>64.520240335012446</v>
      </c>
      <c r="BP9" s="171">
        <v>5.8869939916246885</v>
      </c>
      <c r="BQ9" s="171">
        <v>4.5639376100018207</v>
      </c>
      <c r="BR9" s="171">
        <v>5.3771924500819326</v>
      </c>
      <c r="BS9" s="171">
        <v>4.8916671724221645</v>
      </c>
      <c r="BT9" s="166">
        <v>14.759968440856952</v>
      </c>
      <c r="BU9" s="170">
        <v>35.3392820087155</v>
      </c>
      <c r="BV9" s="171">
        <v>15.770906827142561</v>
      </c>
      <c r="BW9" s="171">
        <v>17.140485577920732</v>
      </c>
      <c r="BX9" s="171">
        <v>11.911184893131354</v>
      </c>
      <c r="BY9" s="171">
        <v>7.096908072214152</v>
      </c>
      <c r="BZ9" s="166">
        <v>12.741232620875701</v>
      </c>
      <c r="CA9" s="170">
        <v>16.364699006428989</v>
      </c>
      <c r="CB9" s="171">
        <v>28.75511396843951</v>
      </c>
      <c r="CC9" s="171">
        <v>21.390999415546464</v>
      </c>
      <c r="CD9" s="171">
        <v>13.793103448275861</v>
      </c>
      <c r="CE9" s="171">
        <v>8.5037989479836362</v>
      </c>
      <c r="CF9" s="166">
        <v>11.19228521332554</v>
      </c>
      <c r="CG9" s="170">
        <v>5.5555555555555554</v>
      </c>
      <c r="CH9" s="171">
        <v>29.299847792998477</v>
      </c>
      <c r="CI9" s="171">
        <v>27.853881278538811</v>
      </c>
      <c r="CJ9" s="171">
        <v>16.210045662100455</v>
      </c>
      <c r="CK9" s="171">
        <v>10.730593607305936</v>
      </c>
      <c r="CL9" s="166">
        <v>10.350076103500761</v>
      </c>
      <c r="CM9" s="170">
        <v>1.4409221902017291</v>
      </c>
      <c r="CN9" s="171">
        <v>20.244956772334294</v>
      </c>
      <c r="CO9" s="171">
        <v>20.605187319884728</v>
      </c>
      <c r="CP9" s="171">
        <v>23.342939481268012</v>
      </c>
      <c r="CQ9" s="171">
        <v>16.786743515850144</v>
      </c>
      <c r="CR9" s="166">
        <v>17.579250720461097</v>
      </c>
      <c r="CS9" s="170">
        <v>29.610894941634243</v>
      </c>
      <c r="CT9" s="171">
        <v>9.4552529182879379</v>
      </c>
      <c r="CU9" s="171">
        <v>10.466926070038911</v>
      </c>
      <c r="CV9" s="171">
        <v>12.101167315175097</v>
      </c>
      <c r="CW9" s="171">
        <v>12.645914396887159</v>
      </c>
      <c r="CX9" s="166">
        <v>25.719844357976651</v>
      </c>
      <c r="CY9" s="170">
        <v>54.614355773517609</v>
      </c>
      <c r="CZ9" s="171">
        <v>9.2287115470352212</v>
      </c>
      <c r="DA9" s="171">
        <v>8.2924654480606339</v>
      </c>
      <c r="DB9" s="171">
        <v>8.8274632189032545</v>
      </c>
      <c r="DC9" s="171">
        <v>6.1970575122603657</v>
      </c>
      <c r="DD9" s="166">
        <v>12.839946500222915</v>
      </c>
      <c r="DE9" s="170">
        <v>48.525399506301156</v>
      </c>
      <c r="DF9" s="171">
        <v>11.92672469793426</v>
      </c>
      <c r="DG9" s="171">
        <v>10.237754969468623</v>
      </c>
      <c r="DH9" s="171">
        <v>8.0940626218007026</v>
      </c>
      <c r="DI9" s="171">
        <v>6.3661166688320128</v>
      </c>
      <c r="DJ9" s="166">
        <v>14.849941535663245</v>
      </c>
      <c r="DK9" s="170">
        <v>56.712328767123289</v>
      </c>
      <c r="DL9" s="171">
        <v>15.719178082191782</v>
      </c>
      <c r="DM9" s="171">
        <v>11.506849315068493</v>
      </c>
      <c r="DN9" s="171">
        <v>6.1986301369863019</v>
      </c>
      <c r="DO9" s="171">
        <v>3.7671232876712328</v>
      </c>
      <c r="DP9" s="166">
        <v>6.095890410958904</v>
      </c>
      <c r="DQ9" s="170">
        <v>43.982074263764403</v>
      </c>
      <c r="DR9" s="171">
        <v>11.971830985915492</v>
      </c>
      <c r="DS9" s="171">
        <v>14.532650448143405</v>
      </c>
      <c r="DT9" s="171">
        <v>11.267605633802818</v>
      </c>
      <c r="DU9" s="171">
        <v>6.7221510883482711</v>
      </c>
      <c r="DV9" s="166">
        <v>11.523687580025609</v>
      </c>
      <c r="DW9" s="170">
        <v>51.432129514321289</v>
      </c>
      <c r="DX9" s="171">
        <v>13.994396014943961</v>
      </c>
      <c r="DY9" s="171">
        <v>11.114570361145704</v>
      </c>
      <c r="DZ9" s="171">
        <v>8.6394769613947702</v>
      </c>
      <c r="EA9" s="171">
        <v>5.5417185554171855</v>
      </c>
      <c r="EB9" s="166">
        <v>9.2777085927770848</v>
      </c>
      <c r="EC9" s="170">
        <v>35.065420560747661</v>
      </c>
      <c r="ED9" s="171">
        <v>12.598130841121497</v>
      </c>
      <c r="EE9" s="171">
        <v>11.850467289719626</v>
      </c>
      <c r="EF9" s="171">
        <v>12.074766355140188</v>
      </c>
      <c r="EG9" s="171">
        <v>8</v>
      </c>
      <c r="EH9" s="166">
        <v>20.411214953271028</v>
      </c>
      <c r="EI9" s="170">
        <v>51.846032992930091</v>
      </c>
      <c r="EJ9" s="171">
        <v>10.212097407698352</v>
      </c>
      <c r="EK9" s="171">
        <v>9.4265514532600161</v>
      </c>
      <c r="EL9" s="171">
        <v>7.6197957580518461</v>
      </c>
      <c r="EM9" s="171">
        <v>5.4202670856245092</v>
      </c>
      <c r="EN9" s="166">
        <v>15.475255302435192</v>
      </c>
    </row>
    <row r="10" spans="1:149" ht="10.5" customHeight="1" x14ac:dyDescent="0.2">
      <c r="A10" s="63" t="s">
        <v>22</v>
      </c>
      <c r="B10" s="69">
        <v>3493</v>
      </c>
      <c r="C10" s="74">
        <v>317836.48574728728</v>
      </c>
      <c r="D10" s="74">
        <v>17338</v>
      </c>
      <c r="E10" s="92">
        <v>18118</v>
      </c>
      <c r="F10" s="92">
        <v>12662.692287843905</v>
      </c>
      <c r="G10" s="118">
        <v>16093.155395945503</v>
      </c>
      <c r="H10" s="123">
        <v>92.820137247349763</v>
      </c>
      <c r="I10" s="92">
        <v>26.767821356999715</v>
      </c>
      <c r="J10" s="92">
        <v>7.901517320354996</v>
      </c>
      <c r="K10" s="92">
        <v>9.2470655596908102</v>
      </c>
      <c r="L10" s="92">
        <v>12.195820211852276</v>
      </c>
      <c r="M10" s="92">
        <v>10.449470369310049</v>
      </c>
      <c r="N10" s="118">
        <v>33.438305181792153</v>
      </c>
      <c r="O10" s="155">
        <v>4.3737874539495376</v>
      </c>
      <c r="P10" s="156">
        <v>2.9617348150152942</v>
      </c>
      <c r="Q10" s="156">
        <v>3.7440045619693567</v>
      </c>
      <c r="R10" s="160">
        <v>85.600971729627915</v>
      </c>
      <c r="S10" s="155">
        <v>5.3470161292705951</v>
      </c>
      <c r="T10" s="156">
        <v>3.6508024060815796</v>
      </c>
      <c r="U10" s="156">
        <v>4.6527251258722089</v>
      </c>
      <c r="V10" s="160">
        <v>87.015356104917956</v>
      </c>
      <c r="W10" s="155">
        <v>5.6865511805781255</v>
      </c>
      <c r="X10" s="156">
        <v>4.4356363610202321</v>
      </c>
      <c r="Y10" s="156">
        <v>5.6911692520356096</v>
      </c>
      <c r="Z10" s="160">
        <v>100.08121040874929</v>
      </c>
      <c r="AA10" s="155">
        <v>5.8526160776618399</v>
      </c>
      <c r="AB10" s="156">
        <v>4.0358831842772478</v>
      </c>
      <c r="AC10" s="156">
        <v>5.1287512370417199</v>
      </c>
      <c r="AD10" s="160">
        <v>87.631773022273691</v>
      </c>
      <c r="AE10" s="155">
        <v>5.9616366361415158</v>
      </c>
      <c r="AF10" s="156">
        <v>4.5467733144166784</v>
      </c>
      <c r="AG10" s="156">
        <v>5.7538501343206523</v>
      </c>
      <c r="AH10" s="160">
        <v>96.514606399169168</v>
      </c>
      <c r="AI10" s="155">
        <v>5.5105845581555721</v>
      </c>
      <c r="AJ10" s="156">
        <v>4.1297010315383798</v>
      </c>
      <c r="AK10" s="156">
        <v>5.3452319070675101</v>
      </c>
      <c r="AL10" s="160">
        <v>96.999362783693371</v>
      </c>
      <c r="AM10" s="155">
        <v>5.1280662341574486</v>
      </c>
      <c r="AN10" s="156">
        <v>2.7210172571071705</v>
      </c>
      <c r="AO10" s="156">
        <v>3.5178603820378713</v>
      </c>
      <c r="AP10" s="160">
        <v>68.600135439082564</v>
      </c>
      <c r="AQ10" s="155">
        <v>5.3708509744109927</v>
      </c>
      <c r="AR10" s="156">
        <v>3.542164162913374</v>
      </c>
      <c r="AS10" s="156">
        <v>4.4105050599282896</v>
      </c>
      <c r="AT10" s="160">
        <v>82.119296940872161</v>
      </c>
      <c r="AU10" s="155">
        <v>5.6168859351910276</v>
      </c>
      <c r="AV10" s="156">
        <v>1.9755485001765587</v>
      </c>
      <c r="AW10" s="156">
        <v>2.4114810277109946</v>
      </c>
      <c r="AX10" s="160">
        <v>42.932704269505187</v>
      </c>
      <c r="AY10" s="155">
        <v>5.8459039987384065</v>
      </c>
      <c r="AZ10" s="156">
        <v>4.9424866297793439</v>
      </c>
      <c r="BA10" s="156">
        <v>6.3674309162462235</v>
      </c>
      <c r="BB10" s="160">
        <v>108.92123643529499</v>
      </c>
      <c r="BC10" s="155">
        <v>5.4780172719169222</v>
      </c>
      <c r="BD10" s="156">
        <v>4.9366543990820846</v>
      </c>
      <c r="BE10" s="156">
        <v>6.1343149710305358</v>
      </c>
      <c r="BF10" s="160">
        <v>111.98057009564621</v>
      </c>
      <c r="BG10" s="155">
        <v>5.3940958909271552</v>
      </c>
      <c r="BH10" s="156">
        <v>4.2829321282523045</v>
      </c>
      <c r="BI10" s="156">
        <v>5.4838751951980758</v>
      </c>
      <c r="BJ10" s="160">
        <v>101.66439948577721</v>
      </c>
      <c r="BK10" s="155">
        <v>5.1846857965764697</v>
      </c>
      <c r="BL10" s="156">
        <v>2.3301958119509183</v>
      </c>
      <c r="BM10" s="156">
        <v>2.9210345060341298</v>
      </c>
      <c r="BN10" s="160">
        <v>56.339663012229877</v>
      </c>
      <c r="BO10" s="170">
        <v>37.714285714285715</v>
      </c>
      <c r="BP10" s="171">
        <v>7.1648351648351651</v>
      </c>
      <c r="BQ10" s="171">
        <v>6.0219780219780219</v>
      </c>
      <c r="BR10" s="171">
        <v>8</v>
      </c>
      <c r="BS10" s="171">
        <v>7.7362637362637363</v>
      </c>
      <c r="BT10" s="166">
        <v>33.362637362637365</v>
      </c>
      <c r="BU10" s="170">
        <v>10.702875399361023</v>
      </c>
      <c r="BV10" s="171">
        <v>9.7444089456869012</v>
      </c>
      <c r="BW10" s="171">
        <v>15.175718849840255</v>
      </c>
      <c r="BX10" s="171">
        <v>15.814696485623003</v>
      </c>
      <c r="BY10" s="171">
        <v>15.015974440894569</v>
      </c>
      <c r="BZ10" s="166">
        <v>33.546325878594253</v>
      </c>
      <c r="CA10" s="170">
        <v>2.2388059701492535</v>
      </c>
      <c r="CB10" s="171">
        <v>9.2039800995024876</v>
      </c>
      <c r="CC10" s="171">
        <v>13.930348258706468</v>
      </c>
      <c r="CD10" s="171">
        <v>25.621890547263682</v>
      </c>
      <c r="CE10" s="171">
        <v>16.169154228855724</v>
      </c>
      <c r="CF10" s="166">
        <v>32.835820895522389</v>
      </c>
      <c r="CG10" s="170">
        <v>0.86206896551724133</v>
      </c>
      <c r="CH10" s="171">
        <v>8.6206896551724146</v>
      </c>
      <c r="CI10" s="171">
        <v>17.241379310344829</v>
      </c>
      <c r="CJ10" s="171">
        <v>21.551724137931032</v>
      </c>
      <c r="CK10" s="171">
        <v>14.655172413793101</v>
      </c>
      <c r="CL10" s="166">
        <v>37.068965517241381</v>
      </c>
      <c r="CM10" s="170">
        <v>0</v>
      </c>
      <c r="CN10" s="171">
        <v>6.756756756756757</v>
      </c>
      <c r="CO10" s="171">
        <v>20.27027027027027</v>
      </c>
      <c r="CP10" s="171">
        <v>22.972972972972975</v>
      </c>
      <c r="CQ10" s="171">
        <v>17.567567567567568</v>
      </c>
      <c r="CR10" s="166">
        <v>32.432432432432435</v>
      </c>
      <c r="CS10" s="170">
        <v>18.357487922705314</v>
      </c>
      <c r="CT10" s="171">
        <v>8.454106280193237</v>
      </c>
      <c r="CU10" s="171">
        <v>7.7294685990338161</v>
      </c>
      <c r="CV10" s="171">
        <v>13.043478260869565</v>
      </c>
      <c r="CW10" s="171">
        <v>12.681159420289855</v>
      </c>
      <c r="CX10" s="166">
        <v>39.734299516908209</v>
      </c>
      <c r="CY10" s="170">
        <v>34.246575342465754</v>
      </c>
      <c r="CZ10" s="171">
        <v>7.1232876712328768</v>
      </c>
      <c r="DA10" s="171">
        <v>7.6712328767123292</v>
      </c>
      <c r="DB10" s="171">
        <v>13.698630136986301</v>
      </c>
      <c r="DC10" s="171">
        <v>8.7671232876712324</v>
      </c>
      <c r="DD10" s="166">
        <v>28.493150684931507</v>
      </c>
      <c r="DE10" s="170">
        <v>28.731343283582088</v>
      </c>
      <c r="DF10" s="171">
        <v>6.6231343283582085</v>
      </c>
      <c r="DG10" s="171">
        <v>10.261194029850747</v>
      </c>
      <c r="DH10" s="171">
        <v>12.5</v>
      </c>
      <c r="DI10" s="171">
        <v>9.9813432835820883</v>
      </c>
      <c r="DJ10" s="166">
        <v>31.902985074626866</v>
      </c>
      <c r="DK10" s="170">
        <v>38</v>
      </c>
      <c r="DL10" s="171">
        <v>6</v>
      </c>
      <c r="DM10" s="171">
        <v>10</v>
      </c>
      <c r="DN10" s="171">
        <v>8</v>
      </c>
      <c r="DO10" s="171">
        <v>6</v>
      </c>
      <c r="DP10" s="166">
        <v>32</v>
      </c>
      <c r="DQ10" s="170">
        <v>26.804123711340207</v>
      </c>
      <c r="DR10" s="171">
        <v>6.1855670103092786</v>
      </c>
      <c r="DS10" s="171">
        <v>10.309278350515463</v>
      </c>
      <c r="DT10" s="171">
        <v>10.309278350515463</v>
      </c>
      <c r="DU10" s="171">
        <v>11.340206185567011</v>
      </c>
      <c r="DV10" s="166">
        <v>35.051546391752574</v>
      </c>
      <c r="DW10" s="170">
        <v>34</v>
      </c>
      <c r="DX10" s="171">
        <v>10.25</v>
      </c>
      <c r="DY10" s="171">
        <v>9.25</v>
      </c>
      <c r="DZ10" s="171">
        <v>8.75</v>
      </c>
      <c r="EA10" s="171">
        <v>9</v>
      </c>
      <c r="EB10" s="166">
        <v>28.749999999999996</v>
      </c>
      <c r="EC10" s="170">
        <v>18.609406952965234</v>
      </c>
      <c r="ED10" s="171">
        <v>8.7934560327198366</v>
      </c>
      <c r="EE10" s="171">
        <v>11.042944785276074</v>
      </c>
      <c r="EF10" s="171">
        <v>12.474437627811861</v>
      </c>
      <c r="EG10" s="171">
        <v>12.678936605316974</v>
      </c>
      <c r="EH10" s="166">
        <v>36.400817995910025</v>
      </c>
      <c r="EI10" s="170">
        <v>43.103448275862064</v>
      </c>
      <c r="EJ10" s="171">
        <v>9.1954022988505741</v>
      </c>
      <c r="EK10" s="171">
        <v>7.4712643678160928</v>
      </c>
      <c r="EL10" s="171">
        <v>12.068965517241379</v>
      </c>
      <c r="EM10" s="171">
        <v>3.4482758620689653</v>
      </c>
      <c r="EN10" s="166">
        <v>24.712643678160919</v>
      </c>
    </row>
    <row r="11" spans="1:149" ht="10.5" customHeight="1" x14ac:dyDescent="0.2">
      <c r="A11" s="63" t="s">
        <v>23</v>
      </c>
      <c r="B11" s="69">
        <v>3919</v>
      </c>
      <c r="C11" s="74">
        <v>324354.90331912175</v>
      </c>
      <c r="D11" s="74">
        <v>17535</v>
      </c>
      <c r="E11" s="92">
        <v>18731</v>
      </c>
      <c r="F11" s="92">
        <v>12056.999062240578</v>
      </c>
      <c r="G11" s="118">
        <v>15397.873187144058</v>
      </c>
      <c r="H11" s="123">
        <v>87.812222339002318</v>
      </c>
      <c r="I11" s="92">
        <v>27.379433528961471</v>
      </c>
      <c r="J11" s="92">
        <v>7.3488134728247001</v>
      </c>
      <c r="K11" s="92">
        <v>10.742536361316663</v>
      </c>
      <c r="L11" s="92">
        <v>11.227353916815515</v>
      </c>
      <c r="M11" s="92">
        <v>11.508037764735903</v>
      </c>
      <c r="N11" s="118">
        <v>31.793824955345752</v>
      </c>
      <c r="O11" s="155">
        <v>4.3608326396727755</v>
      </c>
      <c r="P11" s="156">
        <v>2.7985368235248296</v>
      </c>
      <c r="Q11" s="156">
        <v>3.5268156580085743</v>
      </c>
      <c r="R11" s="160">
        <v>80.874822526397523</v>
      </c>
      <c r="S11" s="155">
        <v>5.3482450476396624</v>
      </c>
      <c r="T11" s="156">
        <v>3.0668221479888325</v>
      </c>
      <c r="U11" s="156">
        <v>3.9769576217065414</v>
      </c>
      <c r="V11" s="160">
        <v>74.360048694135472</v>
      </c>
      <c r="W11" s="155">
        <v>5.6787732948623022</v>
      </c>
      <c r="X11" s="156">
        <v>3.6747076876523219</v>
      </c>
      <c r="Y11" s="156">
        <v>4.7336051752239632</v>
      </c>
      <c r="Z11" s="160">
        <v>83.356121638216294</v>
      </c>
      <c r="AA11" s="155">
        <v>5.8669808212877577</v>
      </c>
      <c r="AB11" s="156">
        <v>4.28407701397634</v>
      </c>
      <c r="AC11" s="156">
        <v>5.506258643468902</v>
      </c>
      <c r="AD11" s="160">
        <v>93.851655752648597</v>
      </c>
      <c r="AE11" s="155">
        <v>5.9537796604328248</v>
      </c>
      <c r="AF11" s="156">
        <v>4.7499866784954712</v>
      </c>
      <c r="AG11" s="156">
        <v>6.0163367194607078</v>
      </c>
      <c r="AH11" s="160">
        <v>101.05071169233251</v>
      </c>
      <c r="AI11" s="155">
        <v>5.4371509374673748</v>
      </c>
      <c r="AJ11" s="156">
        <v>4.0455493084893073</v>
      </c>
      <c r="AK11" s="156">
        <v>5.268429782749771</v>
      </c>
      <c r="AL11" s="160">
        <v>96.896883006227625</v>
      </c>
      <c r="AM11" s="155">
        <v>5.0243626919939315</v>
      </c>
      <c r="AN11" s="156">
        <v>2.6999828566557862</v>
      </c>
      <c r="AO11" s="156">
        <v>3.4348439534310313</v>
      </c>
      <c r="AP11" s="160">
        <v>68.363773954939248</v>
      </c>
      <c r="AQ11" s="155">
        <v>5.4201926139588004</v>
      </c>
      <c r="AR11" s="156">
        <v>3.0783855244808649</v>
      </c>
      <c r="AS11" s="156">
        <v>3.9637487009784755</v>
      </c>
      <c r="AT11" s="160">
        <v>73.129296010080949</v>
      </c>
      <c r="AU11" s="155">
        <v>4.8709026156857345</v>
      </c>
      <c r="AV11" s="156">
        <v>1.1786928742926539</v>
      </c>
      <c r="AW11" s="156">
        <v>1.465340616952806</v>
      </c>
      <c r="AX11" s="160">
        <v>30.083553964597439</v>
      </c>
      <c r="AY11" s="155">
        <v>5.7239183635126363</v>
      </c>
      <c r="AZ11" s="156">
        <v>4.8781168712425229</v>
      </c>
      <c r="BA11" s="156">
        <v>6.1535290505181734</v>
      </c>
      <c r="BB11" s="160">
        <v>107.50553484033088</v>
      </c>
      <c r="BC11" s="155">
        <v>5.2823953317283037</v>
      </c>
      <c r="BD11" s="156">
        <v>3.00351645679629</v>
      </c>
      <c r="BE11" s="156">
        <v>3.7482086720925736</v>
      </c>
      <c r="BF11" s="160">
        <v>70.956610338859818</v>
      </c>
      <c r="BG11" s="155">
        <v>5.4824994367019579</v>
      </c>
      <c r="BH11" s="156">
        <v>4.5929306652960245</v>
      </c>
      <c r="BI11" s="156">
        <v>5.762706303419372</v>
      </c>
      <c r="BJ11" s="160">
        <v>105.11093288658824</v>
      </c>
      <c r="BK11" s="155">
        <v>5.1372174163148303</v>
      </c>
      <c r="BL11" s="156">
        <v>3.8075039366324823</v>
      </c>
      <c r="BM11" s="156">
        <v>4.6120907005516365</v>
      </c>
      <c r="BN11" s="160">
        <v>89.777993158407298</v>
      </c>
      <c r="BO11" s="170">
        <v>38.710968775020014</v>
      </c>
      <c r="BP11" s="171">
        <v>5.7646116893514812</v>
      </c>
      <c r="BQ11" s="171">
        <v>6.965572457966374</v>
      </c>
      <c r="BR11" s="171">
        <v>7.2457966373098479</v>
      </c>
      <c r="BS11" s="171">
        <v>8.486789431545235</v>
      </c>
      <c r="BT11" s="166">
        <v>32.826261008807045</v>
      </c>
      <c r="BU11" s="170">
        <v>11.618798955613578</v>
      </c>
      <c r="BV11" s="171">
        <v>12.663185378590077</v>
      </c>
      <c r="BW11" s="171">
        <v>18.015665796344649</v>
      </c>
      <c r="BX11" s="171">
        <v>15.66579634464752</v>
      </c>
      <c r="BY11" s="171">
        <v>14.229765013054829</v>
      </c>
      <c r="BZ11" s="166">
        <v>27.806788511749346</v>
      </c>
      <c r="CA11" s="170">
        <v>3.2751091703056767</v>
      </c>
      <c r="CB11" s="171">
        <v>8.0786026200873362</v>
      </c>
      <c r="CC11" s="171">
        <v>18.995633187772924</v>
      </c>
      <c r="CD11" s="171">
        <v>20.960698689956331</v>
      </c>
      <c r="CE11" s="171">
        <v>19.432314410480352</v>
      </c>
      <c r="CF11" s="166">
        <v>29.257641921397383</v>
      </c>
      <c r="CG11" s="170">
        <v>1.5151515151515151</v>
      </c>
      <c r="CH11" s="171">
        <v>3.7878787878787881</v>
      </c>
      <c r="CI11" s="171">
        <v>12.878787878787879</v>
      </c>
      <c r="CJ11" s="171">
        <v>21.212121212121211</v>
      </c>
      <c r="CK11" s="171">
        <v>18.939393939393938</v>
      </c>
      <c r="CL11" s="166">
        <v>41.666666666666671</v>
      </c>
      <c r="CM11" s="170">
        <v>0</v>
      </c>
      <c r="CN11" s="171">
        <v>7.6923076923076925</v>
      </c>
      <c r="CO11" s="171">
        <v>7.6923076923076925</v>
      </c>
      <c r="CP11" s="171">
        <v>23.076923076923077</v>
      </c>
      <c r="CQ11" s="171">
        <v>24.615384615384617</v>
      </c>
      <c r="CR11" s="166">
        <v>36.923076923076927</v>
      </c>
      <c r="CS11" s="170">
        <v>17.641597028783661</v>
      </c>
      <c r="CT11" s="171">
        <v>5.2924791086350975</v>
      </c>
      <c r="CU11" s="171">
        <v>10.027855153203342</v>
      </c>
      <c r="CV11" s="171">
        <v>12.349117920148561</v>
      </c>
      <c r="CW11" s="171">
        <v>13.09192200557103</v>
      </c>
      <c r="CX11" s="166">
        <v>41.59702878365831</v>
      </c>
      <c r="CY11" s="170">
        <v>34.005763688760808</v>
      </c>
      <c r="CZ11" s="171">
        <v>7.2046109510086458</v>
      </c>
      <c r="DA11" s="171">
        <v>7.4927953890489913</v>
      </c>
      <c r="DB11" s="171">
        <v>10.37463976945245</v>
      </c>
      <c r="DC11" s="171">
        <v>11.815561959654179</v>
      </c>
      <c r="DD11" s="166">
        <v>29.106628242074926</v>
      </c>
      <c r="DE11" s="170">
        <v>30.052724077328648</v>
      </c>
      <c r="DF11" s="171">
        <v>7.9964850615114242</v>
      </c>
      <c r="DG11" s="171">
        <v>10.281195079086116</v>
      </c>
      <c r="DH11" s="171">
        <v>11.599297012302284</v>
      </c>
      <c r="DI11" s="171">
        <v>11.247803163444638</v>
      </c>
      <c r="DJ11" s="166">
        <v>28.822495606326886</v>
      </c>
      <c r="DK11" s="170">
        <v>55.813953488372093</v>
      </c>
      <c r="DL11" s="171">
        <v>6.9767441860465116</v>
      </c>
      <c r="DM11" s="171">
        <v>16.279069767441861</v>
      </c>
      <c r="DN11" s="171">
        <v>4.6511627906976747</v>
      </c>
      <c r="DO11" s="171">
        <v>6.9767441860465116</v>
      </c>
      <c r="DP11" s="166">
        <v>9.3023255813953494</v>
      </c>
      <c r="DQ11" s="170">
        <v>36.170212765957451</v>
      </c>
      <c r="DR11" s="171">
        <v>6.3829787234042552</v>
      </c>
      <c r="DS11" s="171">
        <v>9.5744680851063837</v>
      </c>
      <c r="DT11" s="171">
        <v>12.76595744680851</v>
      </c>
      <c r="DU11" s="171">
        <v>8.5106382978723403</v>
      </c>
      <c r="DV11" s="166">
        <v>26.595744680851062</v>
      </c>
      <c r="DW11" s="170">
        <v>35.53921568627451</v>
      </c>
      <c r="DX11" s="171">
        <v>5.3921568627450984</v>
      </c>
      <c r="DY11" s="171">
        <v>13.23529411764706</v>
      </c>
      <c r="DZ11" s="171">
        <v>11.519607843137255</v>
      </c>
      <c r="EA11" s="171">
        <v>9.8039215686274517</v>
      </c>
      <c r="EB11" s="166">
        <v>24.509803921568626</v>
      </c>
      <c r="EC11" s="170">
        <v>22.712418300653596</v>
      </c>
      <c r="ED11" s="171">
        <v>11.601307189542483</v>
      </c>
      <c r="EE11" s="171">
        <v>12.745098039215685</v>
      </c>
      <c r="EF11" s="171">
        <v>10.294117647058822</v>
      </c>
      <c r="EG11" s="171">
        <v>12.581699346405228</v>
      </c>
      <c r="EH11" s="166">
        <v>30.065359477124183</v>
      </c>
      <c r="EI11" s="170">
        <v>40.512820512820511</v>
      </c>
      <c r="EJ11" s="171">
        <v>6.666666666666667</v>
      </c>
      <c r="EK11" s="171">
        <v>11.282051282051283</v>
      </c>
      <c r="EL11" s="171">
        <v>7.6923076923076925</v>
      </c>
      <c r="EM11" s="171">
        <v>5.6410256410256414</v>
      </c>
      <c r="EN11" s="166">
        <v>28.205128205128204</v>
      </c>
    </row>
    <row r="12" spans="1:149" ht="10.5" customHeight="1" x14ac:dyDescent="0.2">
      <c r="A12" s="63" t="s">
        <v>24</v>
      </c>
      <c r="B12" s="69">
        <v>4741</v>
      </c>
      <c r="C12" s="74">
        <v>425804.09877816506</v>
      </c>
      <c r="D12" s="74">
        <v>23221</v>
      </c>
      <c r="E12" s="92">
        <v>25622</v>
      </c>
      <c r="F12" s="92">
        <v>16526.126980367098</v>
      </c>
      <c r="G12" s="118">
        <v>20986.538068267859</v>
      </c>
      <c r="H12" s="123">
        <v>90.377408674337275</v>
      </c>
      <c r="I12" s="92">
        <v>27.673486606201227</v>
      </c>
      <c r="J12" s="92">
        <v>7.8675384939886097</v>
      </c>
      <c r="K12" s="92">
        <v>9.7447795823665881</v>
      </c>
      <c r="L12" s="92">
        <v>11.157983547774732</v>
      </c>
      <c r="M12" s="92">
        <v>11.390002109259651</v>
      </c>
      <c r="N12" s="118">
        <v>32.166209660409194</v>
      </c>
      <c r="O12" s="155">
        <v>4.4061888398416915</v>
      </c>
      <c r="P12" s="156">
        <v>2.7970675928046065</v>
      </c>
      <c r="Q12" s="156">
        <v>3.5045606823199611</v>
      </c>
      <c r="R12" s="160">
        <v>79.537232962667943</v>
      </c>
      <c r="S12" s="155">
        <v>5.335812481672308</v>
      </c>
      <c r="T12" s="156">
        <v>3.8341746022846692</v>
      </c>
      <c r="U12" s="156">
        <v>4.8124534479725982</v>
      </c>
      <c r="V12" s="160">
        <v>90.191577468335566</v>
      </c>
      <c r="W12" s="155">
        <v>5.6936283105111647</v>
      </c>
      <c r="X12" s="156">
        <v>3.7561305824635078</v>
      </c>
      <c r="Y12" s="156">
        <v>4.7995559950401532</v>
      </c>
      <c r="Z12" s="160">
        <v>84.29696729903425</v>
      </c>
      <c r="AA12" s="155">
        <v>5.8581847838210344</v>
      </c>
      <c r="AB12" s="156">
        <v>3.9810686126621997</v>
      </c>
      <c r="AC12" s="156">
        <v>5.0503512543132585</v>
      </c>
      <c r="AD12" s="160">
        <v>86.21017329909381</v>
      </c>
      <c r="AE12" s="155">
        <v>5.962065187360996</v>
      </c>
      <c r="AF12" s="156">
        <v>4.7614652381241003</v>
      </c>
      <c r="AG12" s="156">
        <v>6.0904667812562669</v>
      </c>
      <c r="AH12" s="160">
        <v>102.15364290493621</v>
      </c>
      <c r="AI12" s="155">
        <v>5.5579564036276725</v>
      </c>
      <c r="AJ12" s="156">
        <v>3.9903007831927439</v>
      </c>
      <c r="AK12" s="156">
        <v>5.1543760740027764</v>
      </c>
      <c r="AL12" s="160">
        <v>92.73869206024213</v>
      </c>
      <c r="AM12" s="155">
        <v>5.133489393050878</v>
      </c>
      <c r="AN12" s="156">
        <v>2.8362898619533281</v>
      </c>
      <c r="AO12" s="156">
        <v>3.5770690693707965</v>
      </c>
      <c r="AP12" s="160">
        <v>69.681045298603664</v>
      </c>
      <c r="AQ12" s="155">
        <v>5.4386157316039974</v>
      </c>
      <c r="AR12" s="156">
        <v>3.7605605682189749</v>
      </c>
      <c r="AS12" s="156">
        <v>4.736200723169139</v>
      </c>
      <c r="AT12" s="160">
        <v>87.084672955415883</v>
      </c>
      <c r="AU12" s="155">
        <v>5.4547506967508017</v>
      </c>
      <c r="AV12" s="156">
        <v>2.6234550210414835</v>
      </c>
      <c r="AW12" s="156">
        <v>3.4148028931910623</v>
      </c>
      <c r="AX12" s="160">
        <v>62.602364123169508</v>
      </c>
      <c r="AY12" s="155">
        <v>5.5885483306033059</v>
      </c>
      <c r="AZ12" s="156">
        <v>3.3839160965600144</v>
      </c>
      <c r="BA12" s="156">
        <v>4.3182347354924175</v>
      </c>
      <c r="BB12" s="160">
        <v>77.269345812855249</v>
      </c>
      <c r="BC12" s="155">
        <v>5.4065284678910723</v>
      </c>
      <c r="BD12" s="156">
        <v>3.8296069049816897</v>
      </c>
      <c r="BE12" s="156">
        <v>4.8511791433365499</v>
      </c>
      <c r="BF12" s="160">
        <v>89.728171638183412</v>
      </c>
      <c r="BG12" s="155">
        <v>5.4824221219009424</v>
      </c>
      <c r="BH12" s="156">
        <v>4.9927722838508526</v>
      </c>
      <c r="BI12" s="156">
        <v>6.2835739350713791</v>
      </c>
      <c r="BJ12" s="160">
        <v>114.61309974600513</v>
      </c>
      <c r="BK12" s="155">
        <v>5.4155321367605573</v>
      </c>
      <c r="BL12" s="156">
        <v>2.6025124477119901</v>
      </c>
      <c r="BM12" s="156">
        <v>3.3013729221599064</v>
      </c>
      <c r="BN12" s="160">
        <v>60.961191602026197</v>
      </c>
      <c r="BO12" s="170">
        <v>38.288288288288285</v>
      </c>
      <c r="BP12" s="171">
        <v>6.9176319176319181</v>
      </c>
      <c r="BQ12" s="171">
        <v>6.531531531531531</v>
      </c>
      <c r="BR12" s="171">
        <v>7.7541827541827537</v>
      </c>
      <c r="BS12" s="171">
        <v>8.6550836550836543</v>
      </c>
      <c r="BT12" s="166">
        <v>31.85328185328185</v>
      </c>
      <c r="BU12" s="170">
        <v>11.793020457280386</v>
      </c>
      <c r="BV12" s="171">
        <v>9.8676293622142008</v>
      </c>
      <c r="BW12" s="171">
        <v>16.004813477737663</v>
      </c>
      <c r="BX12" s="171">
        <v>16.365824308062578</v>
      </c>
      <c r="BY12" s="171">
        <v>11.552346570397113</v>
      </c>
      <c r="BZ12" s="166">
        <v>34.416365824308066</v>
      </c>
      <c r="CA12" s="170">
        <v>4.2990654205607477</v>
      </c>
      <c r="CB12" s="171">
        <v>10.841121495327103</v>
      </c>
      <c r="CC12" s="171">
        <v>16.261682242990656</v>
      </c>
      <c r="CD12" s="171">
        <v>19.626168224299064</v>
      </c>
      <c r="CE12" s="171">
        <v>20.373831775700936</v>
      </c>
      <c r="CF12" s="166">
        <v>28.598130841121495</v>
      </c>
      <c r="CG12" s="170">
        <v>0.58823529411764708</v>
      </c>
      <c r="CH12" s="171">
        <v>6.4705882352941186</v>
      </c>
      <c r="CI12" s="171">
        <v>15.294117647058824</v>
      </c>
      <c r="CJ12" s="171">
        <v>17.647058823529413</v>
      </c>
      <c r="CK12" s="171">
        <v>24.705882352941178</v>
      </c>
      <c r="CL12" s="166">
        <v>35.294117647058826</v>
      </c>
      <c r="CM12" s="170">
        <v>0</v>
      </c>
      <c r="CN12" s="171">
        <v>7.216494845360824</v>
      </c>
      <c r="CO12" s="171">
        <v>13.402061855670103</v>
      </c>
      <c r="CP12" s="171">
        <v>17.525773195876287</v>
      </c>
      <c r="CQ12" s="171">
        <v>24.742268041237114</v>
      </c>
      <c r="CR12" s="166">
        <v>37.113402061855673</v>
      </c>
      <c r="CS12" s="170">
        <v>16.823406478578892</v>
      </c>
      <c r="CT12" s="171">
        <v>6.2695924764890272</v>
      </c>
      <c r="CU12" s="171">
        <v>9.0909090909090917</v>
      </c>
      <c r="CV12" s="171">
        <v>13.793103448275861</v>
      </c>
      <c r="CW12" s="171">
        <v>13.584117032392895</v>
      </c>
      <c r="CX12" s="166">
        <v>40.438871473354233</v>
      </c>
      <c r="CY12" s="170">
        <v>38.155515370705245</v>
      </c>
      <c r="CZ12" s="171">
        <v>6.3291139240506329</v>
      </c>
      <c r="DA12" s="171">
        <v>8.3182640144665463</v>
      </c>
      <c r="DB12" s="171">
        <v>6.6907775768535265</v>
      </c>
      <c r="DC12" s="171">
        <v>7.9566003616636527</v>
      </c>
      <c r="DD12" s="166">
        <v>32.5497287522604</v>
      </c>
      <c r="DE12" s="170">
        <v>29.535036018336609</v>
      </c>
      <c r="DF12" s="171">
        <v>9.2337917485265226</v>
      </c>
      <c r="DG12" s="171">
        <v>10.478061558611657</v>
      </c>
      <c r="DH12" s="171">
        <v>12.180746561886052</v>
      </c>
      <c r="DI12" s="171">
        <v>11.525867714472822</v>
      </c>
      <c r="DJ12" s="166">
        <v>27.04649639816634</v>
      </c>
      <c r="DK12" s="170">
        <v>44.117647058823529</v>
      </c>
      <c r="DL12" s="171">
        <v>8.8235294117647065</v>
      </c>
      <c r="DM12" s="171">
        <v>20.588235294117645</v>
      </c>
      <c r="DN12" s="171">
        <v>5.8823529411764701</v>
      </c>
      <c r="DO12" s="171">
        <v>5.8823529411764701</v>
      </c>
      <c r="DP12" s="166">
        <v>14.705882352941178</v>
      </c>
      <c r="DQ12" s="170">
        <v>34.710743801652896</v>
      </c>
      <c r="DR12" s="171">
        <v>8.2644628099173563</v>
      </c>
      <c r="DS12" s="171">
        <v>7.4380165289256199</v>
      </c>
      <c r="DT12" s="171">
        <v>9.9173553719008272</v>
      </c>
      <c r="DU12" s="171">
        <v>10.743801652892563</v>
      </c>
      <c r="DV12" s="166">
        <v>28.925619834710741</v>
      </c>
      <c r="DW12" s="170">
        <v>34.532374100719423</v>
      </c>
      <c r="DX12" s="171">
        <v>6.4748201438848918</v>
      </c>
      <c r="DY12" s="171">
        <v>10.971223021582734</v>
      </c>
      <c r="DZ12" s="171">
        <v>10.971223021582734</v>
      </c>
      <c r="EA12" s="171">
        <v>9.7122302158273381</v>
      </c>
      <c r="EB12" s="166">
        <v>27.338129496402878</v>
      </c>
      <c r="EC12" s="170">
        <v>18.413597733711047</v>
      </c>
      <c r="ED12" s="171">
        <v>9.4900849858356935</v>
      </c>
      <c r="EE12" s="171">
        <v>8.7818696883852692</v>
      </c>
      <c r="EF12" s="171">
        <v>10.764872521246458</v>
      </c>
      <c r="EG12" s="171">
        <v>14.447592067988669</v>
      </c>
      <c r="EH12" s="166">
        <v>38.10198300283286</v>
      </c>
      <c r="EI12" s="170">
        <v>39.555555555555557</v>
      </c>
      <c r="EJ12" s="171">
        <v>7.5555555555555554</v>
      </c>
      <c r="EK12" s="171">
        <v>9.7777777777777786</v>
      </c>
      <c r="EL12" s="171">
        <v>8.8888888888888893</v>
      </c>
      <c r="EM12" s="171">
        <v>6.2222222222222223</v>
      </c>
      <c r="EN12" s="166">
        <v>28.000000000000004</v>
      </c>
    </row>
    <row r="13" spans="1:149" ht="10.5" customHeight="1" x14ac:dyDescent="0.2">
      <c r="A13" s="63" t="s">
        <v>43</v>
      </c>
      <c r="B13" s="69">
        <v>8222</v>
      </c>
      <c r="C13" s="74">
        <v>888196.29429751658</v>
      </c>
      <c r="D13" s="74">
        <v>49264</v>
      </c>
      <c r="E13" s="92">
        <v>55721</v>
      </c>
      <c r="F13" s="92">
        <v>36761.483235933891</v>
      </c>
      <c r="G13" s="118">
        <v>46158.151777675732</v>
      </c>
      <c r="H13" s="123">
        <v>93.695501335002703</v>
      </c>
      <c r="I13" s="92">
        <v>28.934565799075649</v>
      </c>
      <c r="J13" s="92">
        <v>9.0975431768426187</v>
      </c>
      <c r="K13" s="92">
        <v>9.9854050109462413</v>
      </c>
      <c r="L13" s="92">
        <v>11.62734127949404</v>
      </c>
      <c r="M13" s="92">
        <v>9.6205302846022871</v>
      </c>
      <c r="N13" s="118">
        <v>30.734614449039167</v>
      </c>
      <c r="O13" s="155">
        <v>4.3775595052046787</v>
      </c>
      <c r="P13" s="156">
        <v>2.76712641997515</v>
      </c>
      <c r="Q13" s="156">
        <v>3.4641753204253423</v>
      </c>
      <c r="R13" s="160">
        <v>79.134853936459976</v>
      </c>
      <c r="S13" s="155">
        <v>5.3485736838893212</v>
      </c>
      <c r="T13" s="156">
        <v>3.2671192026633133</v>
      </c>
      <c r="U13" s="156">
        <v>4.1276525321293178</v>
      </c>
      <c r="V13" s="160">
        <v>77.172958176913696</v>
      </c>
      <c r="W13" s="155">
        <v>5.7027707913227044</v>
      </c>
      <c r="X13" s="156">
        <v>3.7841497717994526</v>
      </c>
      <c r="Y13" s="156">
        <v>4.7911471009032116</v>
      </c>
      <c r="Z13" s="160">
        <v>84.014372595745684</v>
      </c>
      <c r="AA13" s="155">
        <v>5.850766690205357</v>
      </c>
      <c r="AB13" s="156">
        <v>4.4746105648381755</v>
      </c>
      <c r="AC13" s="156">
        <v>5.5797333418045358</v>
      </c>
      <c r="AD13" s="160">
        <v>95.367558428632066</v>
      </c>
      <c r="AE13" s="155">
        <v>5.9706278022096733</v>
      </c>
      <c r="AF13" s="156">
        <v>4.9990212503861997</v>
      </c>
      <c r="AG13" s="156">
        <v>6.2718980971873837</v>
      </c>
      <c r="AH13" s="160">
        <v>105.04587297949159</v>
      </c>
      <c r="AI13" s="155">
        <v>5.4983366895284602</v>
      </c>
      <c r="AJ13" s="156">
        <v>4.3959783838797426</v>
      </c>
      <c r="AK13" s="156">
        <v>5.6963982649874314</v>
      </c>
      <c r="AL13" s="160">
        <v>103.60220893413417</v>
      </c>
      <c r="AM13" s="155">
        <v>5.104067771644325</v>
      </c>
      <c r="AN13" s="156">
        <v>2.8134152795266516</v>
      </c>
      <c r="AO13" s="156">
        <v>3.5866223072399097</v>
      </c>
      <c r="AP13" s="160">
        <v>70.269880176070714</v>
      </c>
      <c r="AQ13" s="155">
        <v>5.6245543528267721</v>
      </c>
      <c r="AR13" s="156">
        <v>3.481846834244954</v>
      </c>
      <c r="AS13" s="156">
        <v>4.3732988554009165</v>
      </c>
      <c r="AT13" s="160">
        <v>77.753695334155609</v>
      </c>
      <c r="AU13" s="155">
        <v>5.3657335503999315</v>
      </c>
      <c r="AV13" s="156">
        <v>2.2883497924744161</v>
      </c>
      <c r="AW13" s="156">
        <v>2.7281085270310648</v>
      </c>
      <c r="AX13" s="160">
        <v>50.843160611799789</v>
      </c>
      <c r="AY13" s="155">
        <v>5.8134780771953141</v>
      </c>
      <c r="AZ13" s="156">
        <v>3.2822360871001552</v>
      </c>
      <c r="BA13" s="156">
        <v>4.1017766774728637</v>
      </c>
      <c r="BB13" s="160">
        <v>70.556328294468202</v>
      </c>
      <c r="BC13" s="155">
        <v>5.4733997170411808</v>
      </c>
      <c r="BD13" s="156">
        <v>3.2770342946586775</v>
      </c>
      <c r="BE13" s="156">
        <v>4.0168968445715629</v>
      </c>
      <c r="BF13" s="160">
        <v>73.389429828505641</v>
      </c>
      <c r="BG13" s="155">
        <v>5.6216940052905517</v>
      </c>
      <c r="BH13" s="156">
        <v>7.0897950313111195</v>
      </c>
      <c r="BI13" s="156">
        <v>8.7924125123061589</v>
      </c>
      <c r="BJ13" s="160">
        <v>156.40147798922635</v>
      </c>
      <c r="BK13" s="155">
        <v>5.2117271356006132</v>
      </c>
      <c r="BL13" s="156">
        <v>2.3989597678570949</v>
      </c>
      <c r="BM13" s="156">
        <v>2.9318888205805265</v>
      </c>
      <c r="BN13" s="160">
        <v>56.255608636015978</v>
      </c>
      <c r="BO13" s="170">
        <v>39.469226425748168</v>
      </c>
      <c r="BP13" s="171">
        <v>7.3028420854507807</v>
      </c>
      <c r="BQ13" s="171">
        <v>6.549971767363072</v>
      </c>
      <c r="BR13" s="171">
        <v>8.149821193299454</v>
      </c>
      <c r="BS13" s="171">
        <v>7.4345943911161294</v>
      </c>
      <c r="BT13" s="166">
        <v>31.093544137022398</v>
      </c>
      <c r="BU13" s="170">
        <v>15.032679738562091</v>
      </c>
      <c r="BV13" s="171">
        <v>12.418300653594772</v>
      </c>
      <c r="BW13" s="171">
        <v>15.490196078431373</v>
      </c>
      <c r="BX13" s="171">
        <v>17.450980392156861</v>
      </c>
      <c r="BY13" s="171">
        <v>11.045751633986928</v>
      </c>
      <c r="BZ13" s="166">
        <v>28.562091503267972</v>
      </c>
      <c r="CA13" s="170">
        <v>5.2694610778443112</v>
      </c>
      <c r="CB13" s="171">
        <v>13.652694610778443</v>
      </c>
      <c r="CC13" s="171">
        <v>16.526946107784433</v>
      </c>
      <c r="CD13" s="171">
        <v>17.485029940119762</v>
      </c>
      <c r="CE13" s="171">
        <v>15.568862275449103</v>
      </c>
      <c r="CF13" s="166">
        <v>31.49700598802395</v>
      </c>
      <c r="CG13" s="170">
        <v>1.9047619047619049</v>
      </c>
      <c r="CH13" s="171">
        <v>9.8412698412698418</v>
      </c>
      <c r="CI13" s="171">
        <v>21.269841269841269</v>
      </c>
      <c r="CJ13" s="171">
        <v>18.412698412698415</v>
      </c>
      <c r="CK13" s="171">
        <v>14.285714285714285</v>
      </c>
      <c r="CL13" s="166">
        <v>34.285714285714285</v>
      </c>
      <c r="CM13" s="170">
        <v>0.87336244541484709</v>
      </c>
      <c r="CN13" s="171">
        <v>10.91703056768559</v>
      </c>
      <c r="CO13" s="171">
        <v>13.537117903930133</v>
      </c>
      <c r="CP13" s="171">
        <v>22.707423580786028</v>
      </c>
      <c r="CQ13" s="171">
        <v>22.707423580786028</v>
      </c>
      <c r="CR13" s="166">
        <v>29.257641921397383</v>
      </c>
      <c r="CS13" s="170">
        <v>19.021406727828747</v>
      </c>
      <c r="CT13" s="171">
        <v>7.4006116207951074</v>
      </c>
      <c r="CU13" s="171">
        <v>9.8470948012232409</v>
      </c>
      <c r="CV13" s="171">
        <v>11.498470948012232</v>
      </c>
      <c r="CW13" s="171">
        <v>11.376146788990827</v>
      </c>
      <c r="CX13" s="166">
        <v>40.856269113149843</v>
      </c>
      <c r="CY13" s="170">
        <v>32.814238042269189</v>
      </c>
      <c r="CZ13" s="171">
        <v>12.124582869855395</v>
      </c>
      <c r="DA13" s="171">
        <v>7.8976640711902109</v>
      </c>
      <c r="DB13" s="171">
        <v>10.901001112347053</v>
      </c>
      <c r="DC13" s="171">
        <v>8.1201334816462722</v>
      </c>
      <c r="DD13" s="166">
        <v>28.142380422691883</v>
      </c>
      <c r="DE13" s="170">
        <v>30.52382827884994</v>
      </c>
      <c r="DF13" s="171">
        <v>9.0192989365892089</v>
      </c>
      <c r="DG13" s="171">
        <v>10.1220953131154</v>
      </c>
      <c r="DH13" s="171">
        <v>13.194170933438363</v>
      </c>
      <c r="DI13" s="171">
        <v>9.2162268609688862</v>
      </c>
      <c r="DJ13" s="166">
        <v>27.924379677038203</v>
      </c>
      <c r="DK13" s="170">
        <v>44.700460829493089</v>
      </c>
      <c r="DL13" s="171">
        <v>11.981566820276496</v>
      </c>
      <c r="DM13" s="171">
        <v>11.059907834101383</v>
      </c>
      <c r="DN13" s="171">
        <v>11.059907834101383</v>
      </c>
      <c r="DO13" s="171">
        <v>8.7557603686635943</v>
      </c>
      <c r="DP13" s="166">
        <v>12.442396313364055</v>
      </c>
      <c r="DQ13" s="170">
        <v>33.505154639175252</v>
      </c>
      <c r="DR13" s="171">
        <v>9.2783505154639183</v>
      </c>
      <c r="DS13" s="171">
        <v>12.886597938144329</v>
      </c>
      <c r="DT13" s="171">
        <v>12.371134020618557</v>
      </c>
      <c r="DU13" s="171">
        <v>14.948453608247423</v>
      </c>
      <c r="DV13" s="166">
        <v>17.010309278350515</v>
      </c>
      <c r="DW13" s="170">
        <v>37.636363636363633</v>
      </c>
      <c r="DX13" s="171">
        <v>10.181818181818182</v>
      </c>
      <c r="DY13" s="171">
        <v>11.636363636363637</v>
      </c>
      <c r="DZ13" s="171">
        <v>9.6363636363636367</v>
      </c>
      <c r="EA13" s="171">
        <v>8.545454545454545</v>
      </c>
      <c r="EB13" s="166">
        <v>22.363636363636363</v>
      </c>
      <c r="EC13" s="170">
        <v>19.896193771626297</v>
      </c>
      <c r="ED13" s="171">
        <v>7.6989619377162626</v>
      </c>
      <c r="EE13" s="171">
        <v>10.294117647058822</v>
      </c>
      <c r="EF13" s="171">
        <v>12.802768166089965</v>
      </c>
      <c r="EG13" s="171">
        <v>10.207612456747404</v>
      </c>
      <c r="EH13" s="166">
        <v>39.100346020761243</v>
      </c>
      <c r="EI13" s="170">
        <v>42.622950819672127</v>
      </c>
      <c r="EJ13" s="171">
        <v>9.3676814988290413</v>
      </c>
      <c r="EK13" s="171">
        <v>7.7283372365339584</v>
      </c>
      <c r="EL13" s="171">
        <v>7.2599531615925059</v>
      </c>
      <c r="EM13" s="171">
        <v>7.2599531615925059</v>
      </c>
      <c r="EN13" s="166">
        <v>25.761124121779861</v>
      </c>
    </row>
    <row r="14" spans="1:149" ht="10.5" customHeight="1" x14ac:dyDescent="0.2">
      <c r="A14" s="63" t="s">
        <v>33</v>
      </c>
      <c r="B14" s="69">
        <v>7800</v>
      </c>
      <c r="C14" s="74">
        <v>883103.51082389813</v>
      </c>
      <c r="D14" s="74">
        <v>49141</v>
      </c>
      <c r="E14" s="92">
        <v>46617</v>
      </c>
      <c r="F14" s="92">
        <v>31494.567218128199</v>
      </c>
      <c r="G14" s="118">
        <v>40373.993911017627</v>
      </c>
      <c r="H14" s="123">
        <v>82.159487822831494</v>
      </c>
      <c r="I14" s="92">
        <v>30.051282051282051</v>
      </c>
      <c r="J14" s="92">
        <v>8.4102564102564106</v>
      </c>
      <c r="K14" s="92">
        <v>9.9871794871794872</v>
      </c>
      <c r="L14" s="92">
        <v>11.333333333333332</v>
      </c>
      <c r="M14" s="92">
        <v>10.192307692307692</v>
      </c>
      <c r="N14" s="118">
        <v>30.025641025641026</v>
      </c>
      <c r="O14" s="155">
        <v>4.3680798180621965</v>
      </c>
      <c r="P14" s="156">
        <v>2.5712140678236635</v>
      </c>
      <c r="Q14" s="156">
        <v>3.2249271681473934</v>
      </c>
      <c r="R14" s="160">
        <v>73.829401074865501</v>
      </c>
      <c r="S14" s="155">
        <v>5.3313893520626721</v>
      </c>
      <c r="T14" s="156">
        <v>3.4000939313196081</v>
      </c>
      <c r="U14" s="156">
        <v>4.3074162410168517</v>
      </c>
      <c r="V14" s="160">
        <v>80.793503467353162</v>
      </c>
      <c r="W14" s="155">
        <v>5.6891615835024316</v>
      </c>
      <c r="X14" s="156">
        <v>3.5820313442649256</v>
      </c>
      <c r="Y14" s="156">
        <v>4.6076989103999866</v>
      </c>
      <c r="Z14" s="160">
        <v>80.990825146564731</v>
      </c>
      <c r="AA14" s="155">
        <v>5.8617065260842063</v>
      </c>
      <c r="AB14" s="156">
        <v>3.7974379697269711</v>
      </c>
      <c r="AC14" s="156">
        <v>4.8677562665041707</v>
      </c>
      <c r="AD14" s="160">
        <v>83.0433295294293</v>
      </c>
      <c r="AE14" s="155">
        <v>5.9753917574241999</v>
      </c>
      <c r="AF14" s="156">
        <v>3.9344589947922994</v>
      </c>
      <c r="AG14" s="156">
        <v>5.0795428987055775</v>
      </c>
      <c r="AH14" s="160">
        <v>85.007696648415333</v>
      </c>
      <c r="AI14" s="155">
        <v>5.6523175895826947</v>
      </c>
      <c r="AJ14" s="156">
        <v>3.9382968687303372</v>
      </c>
      <c r="AK14" s="156">
        <v>5.0647703338209356</v>
      </c>
      <c r="AL14" s="160">
        <v>89.605197400007768</v>
      </c>
      <c r="AM14" s="155">
        <v>5.2322551896255787</v>
      </c>
      <c r="AN14" s="156">
        <v>2.8534214125080846</v>
      </c>
      <c r="AO14" s="156">
        <v>3.6789509609153948</v>
      </c>
      <c r="AP14" s="160">
        <v>70.312911499614003</v>
      </c>
      <c r="AQ14" s="155">
        <v>5.4318901610328183</v>
      </c>
      <c r="AR14" s="156">
        <v>2.5677974366631489</v>
      </c>
      <c r="AS14" s="156">
        <v>3.2162241557031681</v>
      </c>
      <c r="AT14" s="160">
        <v>59.21003666045479</v>
      </c>
      <c r="AU14" s="155">
        <v>5.926564000321128</v>
      </c>
      <c r="AV14" s="156">
        <v>4.5364322609175938</v>
      </c>
      <c r="AW14" s="156">
        <v>6.0858506357633884</v>
      </c>
      <c r="AX14" s="160">
        <v>102.6876725777977</v>
      </c>
      <c r="AY14" s="155">
        <v>5.6818687180395679</v>
      </c>
      <c r="AZ14" s="156">
        <v>3.5568760017852412</v>
      </c>
      <c r="BA14" s="156">
        <v>4.5156775197278201</v>
      </c>
      <c r="BB14" s="160">
        <v>79.47521746482515</v>
      </c>
      <c r="BC14" s="155">
        <v>5.4542335219736957</v>
      </c>
      <c r="BD14" s="156">
        <v>3.1994734482784595</v>
      </c>
      <c r="BE14" s="156">
        <v>4.0671146744462243</v>
      </c>
      <c r="BF14" s="160">
        <v>74.568033401226245</v>
      </c>
      <c r="BG14" s="155">
        <v>5.594744708023299</v>
      </c>
      <c r="BH14" s="156">
        <v>4.5036356895413077</v>
      </c>
      <c r="BI14" s="156">
        <v>5.7160969522376481</v>
      </c>
      <c r="BJ14" s="160">
        <v>102.16903988559693</v>
      </c>
      <c r="BK14" s="155">
        <v>5.1919059326262031</v>
      </c>
      <c r="BL14" s="156">
        <v>2.5615279310768018</v>
      </c>
      <c r="BM14" s="156">
        <v>3.1986945551137853</v>
      </c>
      <c r="BN14" s="160">
        <v>61.609254802037619</v>
      </c>
      <c r="BO14" s="170">
        <v>41.898101898101899</v>
      </c>
      <c r="BP14" s="171">
        <v>6.5734265734265733</v>
      </c>
      <c r="BQ14" s="171">
        <v>6.2137862137862143</v>
      </c>
      <c r="BR14" s="171">
        <v>8.1518481518481529</v>
      </c>
      <c r="BS14" s="171">
        <v>7.2927072927072931</v>
      </c>
      <c r="BT14" s="166">
        <v>29.870129870129869</v>
      </c>
      <c r="BU14" s="170">
        <v>14.117647058823529</v>
      </c>
      <c r="BV14" s="171">
        <v>11.211072664359861</v>
      </c>
      <c r="BW14" s="171">
        <v>16.539792387543255</v>
      </c>
      <c r="BX14" s="171">
        <v>15.916955017301039</v>
      </c>
      <c r="BY14" s="171">
        <v>11.833910034602075</v>
      </c>
      <c r="BZ14" s="166">
        <v>30.38062283737024</v>
      </c>
      <c r="CA14" s="170">
        <v>4.5191193511008105</v>
      </c>
      <c r="CB14" s="171">
        <v>13.441483198146004</v>
      </c>
      <c r="CC14" s="171">
        <v>15.990730011587488</v>
      </c>
      <c r="CD14" s="171">
        <v>17.960602549246811</v>
      </c>
      <c r="CE14" s="171">
        <v>17.960602549246811</v>
      </c>
      <c r="CF14" s="166">
        <v>30.127462340672075</v>
      </c>
      <c r="CG14" s="170">
        <v>1.3793103448275863</v>
      </c>
      <c r="CH14" s="171">
        <v>11.03448275862069</v>
      </c>
      <c r="CI14" s="171">
        <v>18.620689655172416</v>
      </c>
      <c r="CJ14" s="171">
        <v>17.931034482758619</v>
      </c>
      <c r="CK14" s="171">
        <v>18.275862068965516</v>
      </c>
      <c r="CL14" s="166">
        <v>32.758620689655174</v>
      </c>
      <c r="CM14" s="170">
        <v>0</v>
      </c>
      <c r="CN14" s="171">
        <v>8.6294416243654819</v>
      </c>
      <c r="CO14" s="171">
        <v>18.781725888324875</v>
      </c>
      <c r="CP14" s="171">
        <v>19.796954314720814</v>
      </c>
      <c r="CQ14" s="171">
        <v>25.888324873096447</v>
      </c>
      <c r="CR14" s="166">
        <v>26.903553299492383</v>
      </c>
      <c r="CS14" s="170">
        <v>21.282476506357103</v>
      </c>
      <c r="CT14" s="171">
        <v>7.075732448866777</v>
      </c>
      <c r="CU14" s="171">
        <v>8.5129906025428408</v>
      </c>
      <c r="CV14" s="171">
        <v>10.779436152570481</v>
      </c>
      <c r="CW14" s="171">
        <v>12.437810945273633</v>
      </c>
      <c r="CX14" s="166">
        <v>39.911553344389169</v>
      </c>
      <c r="CY14" s="170">
        <v>36.18721461187215</v>
      </c>
      <c r="CZ14" s="171">
        <v>8.4474885844748862</v>
      </c>
      <c r="DA14" s="171">
        <v>8.4474885844748862</v>
      </c>
      <c r="DB14" s="171">
        <v>9.474885844748858</v>
      </c>
      <c r="DC14" s="171">
        <v>10.159817351598173</v>
      </c>
      <c r="DD14" s="166">
        <v>27.283105022831052</v>
      </c>
      <c r="DE14" s="170">
        <v>33.401056481105243</v>
      </c>
      <c r="DF14" s="171">
        <v>9.0613571718813493</v>
      </c>
      <c r="DG14" s="171">
        <v>10.239739943112555</v>
      </c>
      <c r="DH14" s="171">
        <v>12.149532710280374</v>
      </c>
      <c r="DI14" s="171">
        <v>9.3457943925233646</v>
      </c>
      <c r="DJ14" s="166">
        <v>25.802519301097114</v>
      </c>
      <c r="DK14" s="170">
        <v>43.884892086330936</v>
      </c>
      <c r="DL14" s="171">
        <v>11.510791366906476</v>
      </c>
      <c r="DM14" s="171">
        <v>10.791366906474821</v>
      </c>
      <c r="DN14" s="171">
        <v>15.107913669064748</v>
      </c>
      <c r="DO14" s="171">
        <v>2.877697841726619</v>
      </c>
      <c r="DP14" s="166">
        <v>15.827338129496402</v>
      </c>
      <c r="DQ14" s="170">
        <v>38.016528925619838</v>
      </c>
      <c r="DR14" s="171">
        <v>8.2644628099173563</v>
      </c>
      <c r="DS14" s="171">
        <v>10.743801652892563</v>
      </c>
      <c r="DT14" s="171">
        <v>11.15702479338843</v>
      </c>
      <c r="DU14" s="171">
        <v>9.9173553719008272</v>
      </c>
      <c r="DV14" s="166">
        <v>21.900826446280991</v>
      </c>
      <c r="DW14" s="170">
        <v>33.880422039859319</v>
      </c>
      <c r="DX14" s="171">
        <v>9.6131301289566231</v>
      </c>
      <c r="DY14" s="171">
        <v>12.778429073856975</v>
      </c>
      <c r="DZ14" s="171">
        <v>10.316529894490035</v>
      </c>
      <c r="EA14" s="171">
        <v>9.1441969519343491</v>
      </c>
      <c r="EB14" s="166">
        <v>24.267291910902696</v>
      </c>
      <c r="EC14" s="170">
        <v>20.722433460076044</v>
      </c>
      <c r="ED14" s="171">
        <v>7.5095057034220538</v>
      </c>
      <c r="EE14" s="171">
        <v>11.02661596958175</v>
      </c>
      <c r="EF14" s="171">
        <v>12.832699619771862</v>
      </c>
      <c r="EG14" s="171">
        <v>11.596958174904943</v>
      </c>
      <c r="EH14" s="166">
        <v>36.311787072243348</v>
      </c>
      <c r="EI14" s="170">
        <v>44.927536231884055</v>
      </c>
      <c r="EJ14" s="171">
        <v>9.5652173913043477</v>
      </c>
      <c r="EK14" s="171">
        <v>8.695652173913043</v>
      </c>
      <c r="EL14" s="171">
        <v>9.5652173913043477</v>
      </c>
      <c r="EM14" s="171">
        <v>6.0869565217391308</v>
      </c>
      <c r="EN14" s="166">
        <v>21.159420289855071</v>
      </c>
    </row>
    <row r="15" spans="1:149" ht="10.5" customHeight="1" x14ac:dyDescent="0.2">
      <c r="A15" s="63" t="s">
        <v>25</v>
      </c>
      <c r="B15" s="69">
        <v>6622</v>
      </c>
      <c r="C15" s="74">
        <v>670500.31526611128</v>
      </c>
      <c r="D15" s="74">
        <v>36968</v>
      </c>
      <c r="E15" s="92">
        <v>38393</v>
      </c>
      <c r="F15" s="92">
        <v>25143.478274388435</v>
      </c>
      <c r="G15" s="118">
        <v>31654.842277263007</v>
      </c>
      <c r="H15" s="123">
        <v>85.627684151869204</v>
      </c>
      <c r="I15" s="92">
        <v>26.23074599818786</v>
      </c>
      <c r="J15" s="92">
        <v>9.3023255813953494</v>
      </c>
      <c r="K15" s="92">
        <v>11.265478707339174</v>
      </c>
      <c r="L15" s="92">
        <v>12.337662337662337</v>
      </c>
      <c r="M15" s="92">
        <v>11.20507399577167</v>
      </c>
      <c r="N15" s="118">
        <v>29.658713379643615</v>
      </c>
      <c r="O15" s="155">
        <v>4.3825596332728702</v>
      </c>
      <c r="P15" s="156">
        <v>2.9233729274896412</v>
      </c>
      <c r="Q15" s="156">
        <v>3.6225043378543575</v>
      </c>
      <c r="R15" s="160">
        <v>82.657274309558957</v>
      </c>
      <c r="S15" s="155">
        <v>5.3437581852600786</v>
      </c>
      <c r="T15" s="156">
        <v>3.1513027293178495</v>
      </c>
      <c r="U15" s="156">
        <v>3.9460313032082883</v>
      </c>
      <c r="V15" s="160">
        <v>73.843747535073689</v>
      </c>
      <c r="W15" s="155">
        <v>5.6899625281390094</v>
      </c>
      <c r="X15" s="156">
        <v>3.4005591335934877</v>
      </c>
      <c r="Y15" s="156">
        <v>4.282073413696355</v>
      </c>
      <c r="Z15" s="160">
        <v>75.256618870860535</v>
      </c>
      <c r="AA15" s="155">
        <v>5.8476201248170989</v>
      </c>
      <c r="AB15" s="156">
        <v>4.273685539565788</v>
      </c>
      <c r="AC15" s="156">
        <v>5.3405935006027985</v>
      </c>
      <c r="AD15" s="160">
        <v>91.329350857411256</v>
      </c>
      <c r="AE15" s="155">
        <v>5.9682707375423378</v>
      </c>
      <c r="AF15" s="156">
        <v>4.3973770293604559</v>
      </c>
      <c r="AG15" s="156">
        <v>5.5881434991109051</v>
      </c>
      <c r="AH15" s="160">
        <v>93.630864698541401</v>
      </c>
      <c r="AI15" s="155">
        <v>5.5896999227830122</v>
      </c>
      <c r="AJ15" s="156">
        <v>4.1523302667505835</v>
      </c>
      <c r="AK15" s="156">
        <v>5.3235704024848349</v>
      </c>
      <c r="AL15" s="160">
        <v>95.238930104039014</v>
      </c>
      <c r="AM15" s="155">
        <v>5.1666058058883113</v>
      </c>
      <c r="AN15" s="156">
        <v>3.0114095628014899</v>
      </c>
      <c r="AO15" s="156">
        <v>3.7911354209356491</v>
      </c>
      <c r="AP15" s="160">
        <v>73.37767895152642</v>
      </c>
      <c r="AQ15" s="155">
        <v>5.3998299670876753</v>
      </c>
      <c r="AR15" s="156">
        <v>3.0084692166219646</v>
      </c>
      <c r="AS15" s="156">
        <v>3.7737870306856074</v>
      </c>
      <c r="AT15" s="160">
        <v>69.887145589529524</v>
      </c>
      <c r="AU15" s="155">
        <v>5.5038238678198192</v>
      </c>
      <c r="AV15" s="156">
        <v>2.0465789081891108</v>
      </c>
      <c r="AW15" s="156">
        <v>2.3848129194540251</v>
      </c>
      <c r="AX15" s="160">
        <v>43.330109696964193</v>
      </c>
      <c r="AY15" s="155">
        <v>5.9107149347223009</v>
      </c>
      <c r="AZ15" s="156">
        <v>3.7595919030426077</v>
      </c>
      <c r="BA15" s="156">
        <v>4.8453972516891453</v>
      </c>
      <c r="BB15" s="160">
        <v>81.976500392956169</v>
      </c>
      <c r="BC15" s="155">
        <v>5.2768754340206714</v>
      </c>
      <c r="BD15" s="156">
        <v>3.0184102948439295</v>
      </c>
      <c r="BE15" s="156">
        <v>3.6490462721924772</v>
      </c>
      <c r="BF15" s="160">
        <v>69.15164698917512</v>
      </c>
      <c r="BG15" s="155">
        <v>5.5116316952102808</v>
      </c>
      <c r="BH15" s="156">
        <v>5.9712150104846096</v>
      </c>
      <c r="BI15" s="156">
        <v>7.3609345131931017</v>
      </c>
      <c r="BJ15" s="160">
        <v>133.55272848855091</v>
      </c>
      <c r="BK15" s="155">
        <v>5.3435047171628201</v>
      </c>
      <c r="BL15" s="156">
        <v>2.1546119251325568</v>
      </c>
      <c r="BM15" s="156">
        <v>2.7232576068623255</v>
      </c>
      <c r="BN15" s="160">
        <v>50.963885146680695</v>
      </c>
      <c r="BO15" s="170">
        <v>36.947597198744262</v>
      </c>
      <c r="BP15" s="171">
        <v>8.0656846172422121</v>
      </c>
      <c r="BQ15" s="171">
        <v>6.7616517749335916</v>
      </c>
      <c r="BR15" s="171">
        <v>8.5003622313450862</v>
      </c>
      <c r="BS15" s="171">
        <v>7.9207920792079207</v>
      </c>
      <c r="BT15" s="166">
        <v>31.803912098526926</v>
      </c>
      <c r="BU15" s="170">
        <v>12.984956452889945</v>
      </c>
      <c r="BV15" s="171">
        <v>12.905779889152811</v>
      </c>
      <c r="BW15" s="171">
        <v>17.577197149643705</v>
      </c>
      <c r="BX15" s="171">
        <v>15.439429928741092</v>
      </c>
      <c r="BY15" s="171">
        <v>14.410134600158353</v>
      </c>
      <c r="BZ15" s="166">
        <v>26.682501979414091</v>
      </c>
      <c r="CA15" s="170">
        <v>5.1470588235294112</v>
      </c>
      <c r="CB15" s="171">
        <v>10.906862745098039</v>
      </c>
      <c r="CC15" s="171">
        <v>19.975490196078432</v>
      </c>
      <c r="CD15" s="171">
        <v>21.568627450980394</v>
      </c>
      <c r="CE15" s="171">
        <v>18.504901960784316</v>
      </c>
      <c r="CF15" s="166">
        <v>23.897058823529413</v>
      </c>
      <c r="CG15" s="170">
        <v>0</v>
      </c>
      <c r="CH15" s="171">
        <v>7.6</v>
      </c>
      <c r="CI15" s="171">
        <v>20.8</v>
      </c>
      <c r="CJ15" s="171">
        <v>23.599999999999998</v>
      </c>
      <c r="CK15" s="171">
        <v>19.600000000000001</v>
      </c>
      <c r="CL15" s="166">
        <v>28.4</v>
      </c>
      <c r="CM15" s="170">
        <v>0.6578947368421052</v>
      </c>
      <c r="CN15" s="171">
        <v>7.2368421052631584</v>
      </c>
      <c r="CO15" s="171">
        <v>19.078947368421055</v>
      </c>
      <c r="CP15" s="171">
        <v>23.026315789473685</v>
      </c>
      <c r="CQ15" s="171">
        <v>21.052631578947366</v>
      </c>
      <c r="CR15" s="166">
        <v>28.947368421052634</v>
      </c>
      <c r="CS15" s="170">
        <v>15.208877284595301</v>
      </c>
      <c r="CT15" s="171">
        <v>7.5718015665796345</v>
      </c>
      <c r="CU15" s="171">
        <v>11.031331592689295</v>
      </c>
      <c r="CV15" s="171">
        <v>13.25065274151436</v>
      </c>
      <c r="CW15" s="171">
        <v>14.360313315926893</v>
      </c>
      <c r="CX15" s="166">
        <v>38.577023498694516</v>
      </c>
      <c r="CY15" s="170">
        <v>25.401459854014597</v>
      </c>
      <c r="CZ15" s="171">
        <v>11.532846715328466</v>
      </c>
      <c r="DA15" s="171">
        <v>10.948905109489052</v>
      </c>
      <c r="DB15" s="171">
        <v>10.072992700729927</v>
      </c>
      <c r="DC15" s="171">
        <v>8.1751824817518255</v>
      </c>
      <c r="DD15" s="166">
        <v>33.868613138686129</v>
      </c>
      <c r="DE15" s="170">
        <v>28.640776699029125</v>
      </c>
      <c r="DF15" s="171">
        <v>9.65480043149946</v>
      </c>
      <c r="DG15" s="171">
        <v>11.326860841423949</v>
      </c>
      <c r="DH15" s="171">
        <v>13.53829557713053</v>
      </c>
      <c r="DI15" s="171">
        <v>11.27292340884574</v>
      </c>
      <c r="DJ15" s="166">
        <v>25.5663430420712</v>
      </c>
      <c r="DK15" s="170">
        <v>40</v>
      </c>
      <c r="DL15" s="171">
        <v>10.810810810810811</v>
      </c>
      <c r="DM15" s="171">
        <v>12.432432432432433</v>
      </c>
      <c r="DN15" s="171">
        <v>12.972972972972974</v>
      </c>
      <c r="DO15" s="171">
        <v>9.7297297297297298</v>
      </c>
      <c r="DP15" s="166">
        <v>14.054054054054054</v>
      </c>
      <c r="DQ15" s="170">
        <v>30.857142857142854</v>
      </c>
      <c r="DR15" s="171">
        <v>9.7142857142857135</v>
      </c>
      <c r="DS15" s="171">
        <v>13.142857142857142</v>
      </c>
      <c r="DT15" s="171">
        <v>14.285714285714285</v>
      </c>
      <c r="DU15" s="171">
        <v>9.7142857142857135</v>
      </c>
      <c r="DV15" s="166">
        <v>22.285714285714285</v>
      </c>
      <c r="DW15" s="170">
        <v>38.617021276595743</v>
      </c>
      <c r="DX15" s="171">
        <v>11.063829787234042</v>
      </c>
      <c r="DY15" s="171">
        <v>11.595744680851064</v>
      </c>
      <c r="DZ15" s="171">
        <v>9.4680851063829792</v>
      </c>
      <c r="EA15" s="171">
        <v>8.2978723404255312</v>
      </c>
      <c r="EB15" s="166">
        <v>20.957446808510639</v>
      </c>
      <c r="EC15" s="170">
        <v>17.626321974148059</v>
      </c>
      <c r="ED15" s="171">
        <v>7.4030552291421863</v>
      </c>
      <c r="EE15" s="171">
        <v>10.810810810810811</v>
      </c>
      <c r="EF15" s="171">
        <v>13.866039952996475</v>
      </c>
      <c r="EG15" s="171">
        <v>13.278495887191538</v>
      </c>
      <c r="EH15" s="166">
        <v>37.015276145710928</v>
      </c>
      <c r="EI15" s="170">
        <v>41.621621621621621</v>
      </c>
      <c r="EJ15" s="171">
        <v>8.6486486486486491</v>
      </c>
      <c r="EK15" s="171">
        <v>12.162162162162163</v>
      </c>
      <c r="EL15" s="171">
        <v>9.4594594594594597</v>
      </c>
      <c r="EM15" s="171">
        <v>7.5675675675675684</v>
      </c>
      <c r="EN15" s="166">
        <v>20.54054054054054</v>
      </c>
    </row>
    <row r="16" spans="1:149" ht="10.5" customHeight="1" x14ac:dyDescent="0.2">
      <c r="A16" s="63" t="s">
        <v>26</v>
      </c>
      <c r="B16" s="69">
        <v>5262</v>
      </c>
      <c r="C16" s="74">
        <v>478632.13034329284</v>
      </c>
      <c r="D16" s="74">
        <v>26125</v>
      </c>
      <c r="E16" s="92">
        <v>31471</v>
      </c>
      <c r="F16" s="92">
        <v>19107.272751008957</v>
      </c>
      <c r="G16" s="118">
        <v>24092.733371060869</v>
      </c>
      <c r="H16" s="123">
        <v>92.220988980137292</v>
      </c>
      <c r="I16" s="92">
        <v>24.895477004941089</v>
      </c>
      <c r="J16" s="92">
        <v>8.0387685290763962</v>
      </c>
      <c r="K16" s="92">
        <v>9.9201824401368306</v>
      </c>
      <c r="L16" s="92">
        <v>12.656784492588368</v>
      </c>
      <c r="M16" s="92">
        <v>10.813378943367541</v>
      </c>
      <c r="N16" s="118">
        <v>33.675408589889777</v>
      </c>
      <c r="O16" s="155">
        <v>4.3766029730999385</v>
      </c>
      <c r="P16" s="156">
        <v>3.0197246971343348</v>
      </c>
      <c r="Q16" s="156">
        <v>3.725537533901206</v>
      </c>
      <c r="R16" s="160">
        <v>85.123954738403341</v>
      </c>
      <c r="S16" s="155">
        <v>5.3459959138529713</v>
      </c>
      <c r="T16" s="156">
        <v>4.451734653036481</v>
      </c>
      <c r="U16" s="156">
        <v>5.5711479581975007</v>
      </c>
      <c r="V16" s="160">
        <v>104.21160150461577</v>
      </c>
      <c r="W16" s="155">
        <v>5.6770167882607563</v>
      </c>
      <c r="X16" s="156">
        <v>4.0204972766500982</v>
      </c>
      <c r="Y16" s="156">
        <v>5.0936483960089216</v>
      </c>
      <c r="Z16" s="160">
        <v>89.724032638794455</v>
      </c>
      <c r="AA16" s="155">
        <v>5.8483682239770882</v>
      </c>
      <c r="AB16" s="156">
        <v>4.1412903762262268</v>
      </c>
      <c r="AC16" s="156">
        <v>5.3005671570804864</v>
      </c>
      <c r="AD16" s="160">
        <v>90.633266478489986</v>
      </c>
      <c r="AE16" s="155">
        <v>5.9557007035874809</v>
      </c>
      <c r="AF16" s="156">
        <v>4.3776455750835304</v>
      </c>
      <c r="AG16" s="156">
        <v>5.5457216191168088</v>
      </c>
      <c r="AH16" s="160">
        <v>93.116190606695255</v>
      </c>
      <c r="AI16" s="155">
        <v>5.5598322898561587</v>
      </c>
      <c r="AJ16" s="156">
        <v>4.6202164275530704</v>
      </c>
      <c r="AK16" s="156">
        <v>5.9611207461757267</v>
      </c>
      <c r="AL16" s="160">
        <v>107.21763598969906</v>
      </c>
      <c r="AM16" s="155">
        <v>4.9605714139617527</v>
      </c>
      <c r="AN16" s="156">
        <v>2.937165989693403</v>
      </c>
      <c r="AO16" s="156">
        <v>3.6165118183449199</v>
      </c>
      <c r="AP16" s="160">
        <v>72.905145729100553</v>
      </c>
      <c r="AQ16" s="155">
        <v>5.4035005876483293</v>
      </c>
      <c r="AR16" s="156">
        <v>3.1918759139617094</v>
      </c>
      <c r="AS16" s="156">
        <v>4.0217260346933408</v>
      </c>
      <c r="AT16" s="160">
        <v>74.428159476589343</v>
      </c>
      <c r="AU16" s="155">
        <v>5.3974230710730788</v>
      </c>
      <c r="AV16" s="156">
        <v>1.261031776009252</v>
      </c>
      <c r="AW16" s="156">
        <v>1.4719740416086231</v>
      </c>
      <c r="AX16" s="160">
        <v>27.27179289497451</v>
      </c>
      <c r="AY16" s="155">
        <v>5.7657789482620361</v>
      </c>
      <c r="AZ16" s="156">
        <v>4.1583439136283529</v>
      </c>
      <c r="BA16" s="156">
        <v>5.1263953654770411</v>
      </c>
      <c r="BB16" s="160">
        <v>88.910716339936641</v>
      </c>
      <c r="BC16" s="155">
        <v>5.4287314496950261</v>
      </c>
      <c r="BD16" s="156">
        <v>3.4231180198714601</v>
      </c>
      <c r="BE16" s="156">
        <v>4.24316962813392</v>
      </c>
      <c r="BF16" s="160">
        <v>78.161347037571574</v>
      </c>
      <c r="BG16" s="155">
        <v>5.5122464951242653</v>
      </c>
      <c r="BH16" s="156">
        <v>6.0534499122062053</v>
      </c>
      <c r="BI16" s="156">
        <v>7.5760936833308739</v>
      </c>
      <c r="BJ16" s="160">
        <v>137.4411265902593</v>
      </c>
      <c r="BK16" s="155">
        <v>5.4275579577403903</v>
      </c>
      <c r="BL16" s="156">
        <v>3.2894298928560723</v>
      </c>
      <c r="BM16" s="156">
        <v>4.1505573668494575</v>
      </c>
      <c r="BN16" s="160">
        <v>76.471912399023452</v>
      </c>
      <c r="BO16" s="170">
        <v>35.667265110712151</v>
      </c>
      <c r="BP16" s="171">
        <v>7.241172950329144</v>
      </c>
      <c r="BQ16" s="171">
        <v>6.7624177139437469</v>
      </c>
      <c r="BR16" s="171">
        <v>9.0664272890484749</v>
      </c>
      <c r="BS16" s="171">
        <v>7.4506283662477548</v>
      </c>
      <c r="BT16" s="166">
        <v>33.812088569718732</v>
      </c>
      <c r="BU16" s="170">
        <v>10.547667342799189</v>
      </c>
      <c r="BV16" s="171">
        <v>8.8235294117647065</v>
      </c>
      <c r="BW16" s="171">
        <v>16.227180527383368</v>
      </c>
      <c r="BX16" s="171">
        <v>15.720081135902635</v>
      </c>
      <c r="BY16" s="171">
        <v>14.604462474645031</v>
      </c>
      <c r="BZ16" s="166">
        <v>34.077079107505071</v>
      </c>
      <c r="CA16" s="170">
        <v>2.3294509151414311</v>
      </c>
      <c r="CB16" s="171">
        <v>11.813643926788686</v>
      </c>
      <c r="CC16" s="171">
        <v>15.141430948419302</v>
      </c>
      <c r="CD16" s="171">
        <v>21.797004991680531</v>
      </c>
      <c r="CE16" s="171">
        <v>18.136439267886857</v>
      </c>
      <c r="CF16" s="166">
        <v>30.782029950083196</v>
      </c>
      <c r="CG16" s="170">
        <v>0</v>
      </c>
      <c r="CH16" s="171">
        <v>6.0606060606060606</v>
      </c>
      <c r="CI16" s="171">
        <v>11.111111111111111</v>
      </c>
      <c r="CJ16" s="171">
        <v>28.787878787878789</v>
      </c>
      <c r="CK16" s="171">
        <v>15.656565656565657</v>
      </c>
      <c r="CL16" s="166">
        <v>38.383838383838381</v>
      </c>
      <c r="CM16" s="170">
        <v>0</v>
      </c>
      <c r="CN16" s="171">
        <v>8.1481481481481488</v>
      </c>
      <c r="CO16" s="171">
        <v>17.037037037037038</v>
      </c>
      <c r="CP16" s="171">
        <v>14.814814814814813</v>
      </c>
      <c r="CQ16" s="171">
        <v>26.666666666666668</v>
      </c>
      <c r="CR16" s="166">
        <v>33.333333333333329</v>
      </c>
      <c r="CS16" s="170">
        <v>17.162032598274209</v>
      </c>
      <c r="CT16" s="171">
        <v>6.7114093959731544</v>
      </c>
      <c r="CU16" s="171">
        <v>9.683604985618409</v>
      </c>
      <c r="CV16" s="171">
        <v>12.559923298178333</v>
      </c>
      <c r="CW16" s="171">
        <v>11.792905081495686</v>
      </c>
      <c r="CX16" s="166">
        <v>42.090124640460211</v>
      </c>
      <c r="CY16" s="170">
        <v>29.204892966360855</v>
      </c>
      <c r="CZ16" s="171">
        <v>8.8685015290519882</v>
      </c>
      <c r="DA16" s="171">
        <v>9.7859327217125376</v>
      </c>
      <c r="DB16" s="171">
        <v>11.467889908256881</v>
      </c>
      <c r="DC16" s="171">
        <v>8.8685015290519882</v>
      </c>
      <c r="DD16" s="166">
        <v>31.804281345565748</v>
      </c>
      <c r="DE16" s="170">
        <v>24.527150701647347</v>
      </c>
      <c r="DF16" s="171">
        <v>7.7486272117144592</v>
      </c>
      <c r="DG16" s="171">
        <v>10.067114093959731</v>
      </c>
      <c r="DH16" s="171">
        <v>14.15497254423429</v>
      </c>
      <c r="DI16" s="171">
        <v>11.714460036607688</v>
      </c>
      <c r="DJ16" s="166">
        <v>31.787675411836485</v>
      </c>
      <c r="DK16" s="170">
        <v>38.888888888888893</v>
      </c>
      <c r="DL16" s="171">
        <v>14.285714285714285</v>
      </c>
      <c r="DM16" s="171">
        <v>13.492063492063492</v>
      </c>
      <c r="DN16" s="171">
        <v>12.698412698412698</v>
      </c>
      <c r="DO16" s="171">
        <v>6.3492063492063489</v>
      </c>
      <c r="DP16" s="166">
        <v>14.285714285714285</v>
      </c>
      <c r="DQ16" s="170">
        <v>31.446540880503143</v>
      </c>
      <c r="DR16" s="171">
        <v>10.062893081761008</v>
      </c>
      <c r="DS16" s="171">
        <v>8.8050314465408803</v>
      </c>
      <c r="DT16" s="171">
        <v>13.20754716981132</v>
      </c>
      <c r="DU16" s="171">
        <v>10.691823899371069</v>
      </c>
      <c r="DV16" s="166">
        <v>25.786163522012579</v>
      </c>
      <c r="DW16" s="170">
        <v>33.484162895927597</v>
      </c>
      <c r="DX16" s="171">
        <v>7.5414781297134237</v>
      </c>
      <c r="DY16" s="171">
        <v>13.423831070889895</v>
      </c>
      <c r="DZ16" s="171">
        <v>10.256410256410255</v>
      </c>
      <c r="EA16" s="171">
        <v>10.407239819004525</v>
      </c>
      <c r="EB16" s="166">
        <v>24.886877828054299</v>
      </c>
      <c r="EC16" s="170">
        <v>15.950920245398773</v>
      </c>
      <c r="ED16" s="171">
        <v>9.0490797546012267</v>
      </c>
      <c r="EE16" s="171">
        <v>6.595092024539877</v>
      </c>
      <c r="EF16" s="171">
        <v>13.343558282208591</v>
      </c>
      <c r="EG16" s="171">
        <v>11.503067484662576</v>
      </c>
      <c r="EH16" s="166">
        <v>43.558282208588956</v>
      </c>
      <c r="EI16" s="170">
        <v>38.144329896907216</v>
      </c>
      <c r="EJ16" s="171">
        <v>8.2474226804123703</v>
      </c>
      <c r="EK16" s="171">
        <v>8.5910652920962196</v>
      </c>
      <c r="EL16" s="171">
        <v>9.9656357388316152</v>
      </c>
      <c r="EM16" s="171">
        <v>8.2474226804123703</v>
      </c>
      <c r="EN16" s="166">
        <v>26.804123711340207</v>
      </c>
    </row>
    <row r="17" spans="1:144" ht="10.5" customHeight="1" x14ac:dyDescent="0.2">
      <c r="A17" s="63" t="s">
        <v>35</v>
      </c>
      <c r="B17" s="69">
        <v>8909</v>
      </c>
      <c r="C17" s="74">
        <v>775567.82822462206</v>
      </c>
      <c r="D17" s="74">
        <v>42174</v>
      </c>
      <c r="E17" s="92">
        <v>44922</v>
      </c>
      <c r="F17" s="92">
        <v>30111.44929313059</v>
      </c>
      <c r="G17" s="118">
        <v>38310.868648249176</v>
      </c>
      <c r="H17" s="123">
        <v>90.840016712308952</v>
      </c>
      <c r="I17" s="92">
        <v>25.794140756538329</v>
      </c>
      <c r="J17" s="92">
        <v>8.4072286451902567</v>
      </c>
      <c r="K17" s="92">
        <v>9.1817263441463695</v>
      </c>
      <c r="L17" s="92">
        <v>11.505219441014704</v>
      </c>
      <c r="M17" s="92">
        <v>10.483780446739251</v>
      </c>
      <c r="N17" s="118">
        <v>34.627904366371084</v>
      </c>
      <c r="O17" s="155">
        <v>4.3838390289356886</v>
      </c>
      <c r="P17" s="156">
        <v>2.9646188328738625</v>
      </c>
      <c r="Q17" s="156">
        <v>3.7101305116535186</v>
      </c>
      <c r="R17" s="160">
        <v>84.631996913314282</v>
      </c>
      <c r="S17" s="155">
        <v>5.3517152609106455</v>
      </c>
      <c r="T17" s="156">
        <v>3.8387538956634013</v>
      </c>
      <c r="U17" s="156">
        <v>4.8546293499267597</v>
      </c>
      <c r="V17" s="160">
        <v>90.711652493647392</v>
      </c>
      <c r="W17" s="155">
        <v>5.6924239570678115</v>
      </c>
      <c r="X17" s="156">
        <v>4.0976150235081494</v>
      </c>
      <c r="Y17" s="156">
        <v>5.2270617192218021</v>
      </c>
      <c r="Z17" s="160">
        <v>91.824884419084654</v>
      </c>
      <c r="AA17" s="155">
        <v>5.8628103401083891</v>
      </c>
      <c r="AB17" s="156">
        <v>4.1314705303800627</v>
      </c>
      <c r="AC17" s="156">
        <v>5.2420047853461478</v>
      </c>
      <c r="AD17" s="160">
        <v>89.411126767734331</v>
      </c>
      <c r="AE17" s="155">
        <v>5.965701951883049</v>
      </c>
      <c r="AF17" s="156">
        <v>4.3793576899669588</v>
      </c>
      <c r="AG17" s="156">
        <v>5.6295641438827575</v>
      </c>
      <c r="AH17" s="160">
        <v>94.365494442876226</v>
      </c>
      <c r="AI17" s="155">
        <v>5.46566954724649</v>
      </c>
      <c r="AJ17" s="156">
        <v>4.5680308594083936</v>
      </c>
      <c r="AK17" s="156">
        <v>5.9242731490858738</v>
      </c>
      <c r="AL17" s="160">
        <v>108.39062072588015</v>
      </c>
      <c r="AM17" s="155">
        <v>5.1585625973417937</v>
      </c>
      <c r="AN17" s="156">
        <v>3.0795522071202162</v>
      </c>
      <c r="AO17" s="156">
        <v>3.9035324392898176</v>
      </c>
      <c r="AP17" s="160">
        <v>75.670932854460403</v>
      </c>
      <c r="AQ17" s="155">
        <v>5.3453875049763999</v>
      </c>
      <c r="AR17" s="156">
        <v>3.3118930575334806</v>
      </c>
      <c r="AS17" s="156">
        <v>4.2020344722660337</v>
      </c>
      <c r="AT17" s="160">
        <v>78.610474326773542</v>
      </c>
      <c r="AU17" s="155">
        <v>5.4176656584687217</v>
      </c>
      <c r="AV17" s="156">
        <v>4.2145808321526852</v>
      </c>
      <c r="AW17" s="156">
        <v>5.1699849016278749</v>
      </c>
      <c r="AX17" s="160">
        <v>95.428275341176132</v>
      </c>
      <c r="AY17" s="155">
        <v>5.8807168629277795</v>
      </c>
      <c r="AZ17" s="156">
        <v>4.2445642527061826</v>
      </c>
      <c r="BA17" s="156">
        <v>5.4017349844422631</v>
      </c>
      <c r="BB17" s="160">
        <v>91.855042681870415</v>
      </c>
      <c r="BC17" s="155">
        <v>5.3026137869754342</v>
      </c>
      <c r="BD17" s="156">
        <v>3.1687402569785159</v>
      </c>
      <c r="BE17" s="156">
        <v>3.9110192793789613</v>
      </c>
      <c r="BF17" s="160">
        <v>73.75644232256586</v>
      </c>
      <c r="BG17" s="155">
        <v>5.4777963730302908</v>
      </c>
      <c r="BH17" s="156">
        <v>4.6663445461550417</v>
      </c>
      <c r="BI17" s="156">
        <v>5.9083322942113989</v>
      </c>
      <c r="BJ17" s="160">
        <v>107.85965545015208</v>
      </c>
      <c r="BK17" s="155">
        <v>5.1197812277851291</v>
      </c>
      <c r="BL17" s="156">
        <v>2.8111967969748251</v>
      </c>
      <c r="BM17" s="156">
        <v>3.6035705861698033</v>
      </c>
      <c r="BN17" s="160">
        <v>70.385245498639108</v>
      </c>
      <c r="BO17" s="170">
        <v>34.691151919866442</v>
      </c>
      <c r="BP17" s="171">
        <v>7.7128547579298834</v>
      </c>
      <c r="BQ17" s="171">
        <v>6.4106844741235385</v>
      </c>
      <c r="BR17" s="171">
        <v>8.580968280467447</v>
      </c>
      <c r="BS17" s="171">
        <v>7.996661101836394</v>
      </c>
      <c r="BT17" s="166">
        <v>34.607679465776293</v>
      </c>
      <c r="BU17" s="170">
        <v>11.291328758577666</v>
      </c>
      <c r="BV17" s="171">
        <v>11.041796631316283</v>
      </c>
      <c r="BW17" s="171">
        <v>16.21958827199002</v>
      </c>
      <c r="BX17" s="171">
        <v>15.782907049282596</v>
      </c>
      <c r="BY17" s="171">
        <v>11.603243917654398</v>
      </c>
      <c r="BZ17" s="166">
        <v>34.061135371179041</v>
      </c>
      <c r="CA17" s="170">
        <v>4.1950113378684808</v>
      </c>
      <c r="CB17" s="171">
        <v>8.8435374149659864</v>
      </c>
      <c r="CC17" s="171">
        <v>13.492063492063492</v>
      </c>
      <c r="CD17" s="171">
        <v>19.614512471655328</v>
      </c>
      <c r="CE17" s="171">
        <v>19.047619047619047</v>
      </c>
      <c r="CF17" s="166">
        <v>34.807256235827666</v>
      </c>
      <c r="CG17" s="170">
        <v>0.7142857142857143</v>
      </c>
      <c r="CH17" s="171">
        <v>7.8571428571428568</v>
      </c>
      <c r="CI17" s="171">
        <v>13.928571428571429</v>
      </c>
      <c r="CJ17" s="171">
        <v>17.5</v>
      </c>
      <c r="CK17" s="171">
        <v>23.214285714285715</v>
      </c>
      <c r="CL17" s="166">
        <v>36.785714285714292</v>
      </c>
      <c r="CM17" s="170">
        <v>0</v>
      </c>
      <c r="CN17" s="171">
        <v>6.4935064935064926</v>
      </c>
      <c r="CO17" s="171">
        <v>10.38961038961039</v>
      </c>
      <c r="CP17" s="171">
        <v>23.376623376623375</v>
      </c>
      <c r="CQ17" s="171">
        <v>23.376623376623375</v>
      </c>
      <c r="CR17" s="166">
        <v>36.363636363636367</v>
      </c>
      <c r="CS17" s="170">
        <v>17.93802145411204</v>
      </c>
      <c r="CT17" s="171">
        <v>6.1382598331346845</v>
      </c>
      <c r="CU17" s="171">
        <v>7.8665077473182352</v>
      </c>
      <c r="CV17" s="171">
        <v>11.978545887961859</v>
      </c>
      <c r="CW17" s="171">
        <v>12.574493444576879</v>
      </c>
      <c r="CX17" s="166">
        <v>43.504171632896302</v>
      </c>
      <c r="CY17" s="170">
        <v>28.165938864628821</v>
      </c>
      <c r="CZ17" s="171">
        <v>8.6244541484716173</v>
      </c>
      <c r="DA17" s="171">
        <v>8.2969432314410483</v>
      </c>
      <c r="DB17" s="171">
        <v>10.152838427947598</v>
      </c>
      <c r="DC17" s="171">
        <v>9.27947598253275</v>
      </c>
      <c r="DD17" s="166">
        <v>35.480349344978166</v>
      </c>
      <c r="DE17" s="170">
        <v>27.455919395465994</v>
      </c>
      <c r="DF17" s="171">
        <v>8.7441525728679395</v>
      </c>
      <c r="DG17" s="171">
        <v>9.4998200791651684</v>
      </c>
      <c r="DH17" s="171">
        <v>11.730838431090321</v>
      </c>
      <c r="DI17" s="171">
        <v>10.363440086362001</v>
      </c>
      <c r="DJ17" s="166">
        <v>32.205829435048578</v>
      </c>
      <c r="DK17" s="170">
        <v>40.909090909090914</v>
      </c>
      <c r="DL17" s="171">
        <v>11.931818181818182</v>
      </c>
      <c r="DM17" s="171">
        <v>9.6590909090909083</v>
      </c>
      <c r="DN17" s="171">
        <v>11.363636363636363</v>
      </c>
      <c r="DO17" s="171">
        <v>7.9545454545454541</v>
      </c>
      <c r="DP17" s="166">
        <v>18.181818181818183</v>
      </c>
      <c r="DQ17" s="170">
        <v>26.315789473684209</v>
      </c>
      <c r="DR17" s="171">
        <v>9.7165991902834001</v>
      </c>
      <c r="DS17" s="171">
        <v>14.17004048582996</v>
      </c>
      <c r="DT17" s="171">
        <v>13.765182186234817</v>
      </c>
      <c r="DU17" s="171">
        <v>10.121457489878543</v>
      </c>
      <c r="DV17" s="166">
        <v>25.910931174089068</v>
      </c>
      <c r="DW17" s="170">
        <v>36.503623188405797</v>
      </c>
      <c r="DX17" s="171">
        <v>10.416666666666668</v>
      </c>
      <c r="DY17" s="171">
        <v>9.7826086956521738</v>
      </c>
      <c r="DZ17" s="171">
        <v>10.688405797101449</v>
      </c>
      <c r="EA17" s="171">
        <v>8.5144927536231894</v>
      </c>
      <c r="EB17" s="166">
        <v>24.094202898550723</v>
      </c>
      <c r="EC17" s="170">
        <v>15.356622998544395</v>
      </c>
      <c r="ED17" s="171">
        <v>8.2969432314410483</v>
      </c>
      <c r="EE17" s="171">
        <v>9.3158660844250374</v>
      </c>
      <c r="EF17" s="171">
        <v>13.173216885007278</v>
      </c>
      <c r="EG17" s="171">
        <v>11.935953420669577</v>
      </c>
      <c r="EH17" s="166">
        <v>41.921397379912662</v>
      </c>
      <c r="EI17" s="170">
        <v>36.10648918469218</v>
      </c>
      <c r="EJ17" s="171">
        <v>7.9866888519134775</v>
      </c>
      <c r="EK17" s="171">
        <v>9.1514143094841938</v>
      </c>
      <c r="EL17" s="171">
        <v>7.9866888519134775</v>
      </c>
      <c r="EM17" s="171">
        <v>8.6522462562396019</v>
      </c>
      <c r="EN17" s="166">
        <v>30.116472545757073</v>
      </c>
    </row>
    <row r="18" spans="1:144" ht="10.5" customHeight="1" x14ac:dyDescent="0.2">
      <c r="A18" s="63" t="s">
        <v>32</v>
      </c>
      <c r="B18" s="69">
        <v>8247</v>
      </c>
      <c r="C18" s="74">
        <v>723152.44454197236</v>
      </c>
      <c r="D18" s="74">
        <v>39355</v>
      </c>
      <c r="E18" s="92">
        <v>41986</v>
      </c>
      <c r="F18" s="92">
        <v>26464.99161302705</v>
      </c>
      <c r="G18" s="118">
        <v>33596.666333513975</v>
      </c>
      <c r="H18" s="123">
        <v>85.368228518648138</v>
      </c>
      <c r="I18" s="92">
        <v>27.682793743179339</v>
      </c>
      <c r="J18" s="92">
        <v>8.6213168424881772</v>
      </c>
      <c r="K18" s="92">
        <v>10.149145143688614</v>
      </c>
      <c r="L18" s="92">
        <v>11.167697344488905</v>
      </c>
      <c r="M18" s="92">
        <v>10.403783193888687</v>
      </c>
      <c r="N18" s="118">
        <v>31.975263732266278</v>
      </c>
      <c r="O18" s="155">
        <v>4.3718062112789182</v>
      </c>
      <c r="P18" s="156">
        <v>2.8870800386496915</v>
      </c>
      <c r="Q18" s="156">
        <v>3.6126079569959635</v>
      </c>
      <c r="R18" s="160">
        <v>82.634219871771009</v>
      </c>
      <c r="S18" s="155">
        <v>5.3589965804753339</v>
      </c>
      <c r="T18" s="156">
        <v>3.3705738990081779</v>
      </c>
      <c r="U18" s="156">
        <v>4.2824361751639746</v>
      </c>
      <c r="V18" s="160">
        <v>79.911157076799796</v>
      </c>
      <c r="W18" s="155">
        <v>5.6761481100586106</v>
      </c>
      <c r="X18" s="156">
        <v>3.8112203045290838</v>
      </c>
      <c r="Y18" s="156">
        <v>4.8493700448769035</v>
      </c>
      <c r="Z18" s="160">
        <v>85.434170336101928</v>
      </c>
      <c r="AA18" s="155">
        <v>5.8534405560445268</v>
      </c>
      <c r="AB18" s="156">
        <v>4.076943469447448</v>
      </c>
      <c r="AC18" s="156">
        <v>5.1872473448987959</v>
      </c>
      <c r="AD18" s="160">
        <v>88.618775491658667</v>
      </c>
      <c r="AE18" s="155">
        <v>5.9645772622339308</v>
      </c>
      <c r="AF18" s="156">
        <v>4.1058779254748252</v>
      </c>
      <c r="AG18" s="156">
        <v>5.2375847792785448</v>
      </c>
      <c r="AH18" s="160">
        <v>87.811500279181502</v>
      </c>
      <c r="AI18" s="155">
        <v>5.5783832862445228</v>
      </c>
      <c r="AJ18" s="156">
        <v>4.1629230541108839</v>
      </c>
      <c r="AK18" s="156">
        <v>5.3557036032431844</v>
      </c>
      <c r="AL18" s="160">
        <v>96.008168109379753</v>
      </c>
      <c r="AM18" s="155">
        <v>5.2518151405668361</v>
      </c>
      <c r="AN18" s="156">
        <v>2.9302474990340923</v>
      </c>
      <c r="AO18" s="156">
        <v>3.7099915589581629</v>
      </c>
      <c r="AP18" s="160">
        <v>70.642082016575671</v>
      </c>
      <c r="AQ18" s="155">
        <v>5.3118411023539114</v>
      </c>
      <c r="AR18" s="156">
        <v>3.2755222277408005</v>
      </c>
      <c r="AS18" s="156">
        <v>4.1372760210346371</v>
      </c>
      <c r="AT18" s="160">
        <v>77.887797118050599</v>
      </c>
      <c r="AU18" s="155">
        <v>5.3557898388494989</v>
      </c>
      <c r="AV18" s="156">
        <v>1.7901062506298988</v>
      </c>
      <c r="AW18" s="156">
        <v>2.1467272312327852</v>
      </c>
      <c r="AX18" s="160">
        <v>40.082364988651861</v>
      </c>
      <c r="AY18" s="155">
        <v>5.6886437988501344</v>
      </c>
      <c r="AZ18" s="156">
        <v>4.0426550926106923</v>
      </c>
      <c r="BA18" s="156">
        <v>5.0873620280320591</v>
      </c>
      <c r="BB18" s="160">
        <v>89.430138499098604</v>
      </c>
      <c r="BC18" s="155">
        <v>5.4442486478275756</v>
      </c>
      <c r="BD18" s="156">
        <v>3.2227107747633177</v>
      </c>
      <c r="BE18" s="156">
        <v>3.9957961579129888</v>
      </c>
      <c r="BF18" s="160">
        <v>73.394813800567974</v>
      </c>
      <c r="BG18" s="155">
        <v>5.537867991398338</v>
      </c>
      <c r="BH18" s="156">
        <v>4.5246146775308587</v>
      </c>
      <c r="BI18" s="156">
        <v>5.7914700298674591</v>
      </c>
      <c r="BJ18" s="160">
        <v>104.57941646249111</v>
      </c>
      <c r="BK18" s="155">
        <v>5.132596270176947</v>
      </c>
      <c r="BL18" s="156">
        <v>2.2994268719930915</v>
      </c>
      <c r="BM18" s="156">
        <v>2.9405054341041041</v>
      </c>
      <c r="BN18" s="160">
        <v>57.290799418414608</v>
      </c>
      <c r="BO18" s="170">
        <v>36.855622821500646</v>
      </c>
      <c r="BP18" s="171">
        <v>7.4298293891029168</v>
      </c>
      <c r="BQ18" s="171">
        <v>6.7327095945698039</v>
      </c>
      <c r="BR18" s="171">
        <v>8.3654375343973584</v>
      </c>
      <c r="BS18" s="171">
        <v>8.2920565033938729</v>
      </c>
      <c r="BT18" s="166">
        <v>32.324344157035405</v>
      </c>
      <c r="BU18" s="170">
        <v>13.997477931904163</v>
      </c>
      <c r="BV18" s="171">
        <v>10.466582597730138</v>
      </c>
      <c r="BW18" s="171">
        <v>15.762925598991174</v>
      </c>
      <c r="BX18" s="171">
        <v>16.078184110970998</v>
      </c>
      <c r="BY18" s="171">
        <v>12.042875157629256</v>
      </c>
      <c r="BZ18" s="166">
        <v>31.651954602774275</v>
      </c>
      <c r="CA18" s="170">
        <v>5.534591194968554</v>
      </c>
      <c r="CB18" s="171">
        <v>12.578616352201259</v>
      </c>
      <c r="CC18" s="171">
        <v>17.610062893081761</v>
      </c>
      <c r="CD18" s="171">
        <v>16.60377358490566</v>
      </c>
      <c r="CE18" s="171">
        <v>15.59748427672956</v>
      </c>
      <c r="CF18" s="166">
        <v>32.075471698113205</v>
      </c>
      <c r="CG18" s="170">
        <v>2.0746887966804977</v>
      </c>
      <c r="CH18" s="171">
        <v>8.2987551867219906</v>
      </c>
      <c r="CI18" s="171">
        <v>20.74688796680498</v>
      </c>
      <c r="CJ18" s="171">
        <v>18.672199170124482</v>
      </c>
      <c r="CK18" s="171">
        <v>21.57676348547718</v>
      </c>
      <c r="CL18" s="166">
        <v>28.630705394190869</v>
      </c>
      <c r="CM18" s="170">
        <v>1.7241379310344827</v>
      </c>
      <c r="CN18" s="171">
        <v>11.494252873563218</v>
      </c>
      <c r="CO18" s="171">
        <v>17.241379310344829</v>
      </c>
      <c r="CP18" s="171">
        <v>18.96551724137931</v>
      </c>
      <c r="CQ18" s="171">
        <v>22.413793103448278</v>
      </c>
      <c r="CR18" s="166">
        <v>28.160919540229884</v>
      </c>
      <c r="CS18" s="170">
        <v>20.208500400962308</v>
      </c>
      <c r="CT18" s="171">
        <v>7.2975140336808337</v>
      </c>
      <c r="CU18" s="171">
        <v>9.1419406575781874</v>
      </c>
      <c r="CV18" s="171">
        <v>11.307137129109863</v>
      </c>
      <c r="CW18" s="171">
        <v>10.986367281475541</v>
      </c>
      <c r="CX18" s="166">
        <v>41.058540497193263</v>
      </c>
      <c r="CY18" s="170">
        <v>30.207064555420221</v>
      </c>
      <c r="CZ18" s="171">
        <v>8.6479902557856274</v>
      </c>
      <c r="DA18" s="171">
        <v>8.8915956151035331</v>
      </c>
      <c r="DB18" s="171">
        <v>8.7697929354445794</v>
      </c>
      <c r="DC18" s="171">
        <v>10.23142509135201</v>
      </c>
      <c r="DD18" s="166">
        <v>33.252131546894034</v>
      </c>
      <c r="DE18" s="170">
        <v>26.98841698841699</v>
      </c>
      <c r="DF18" s="171">
        <v>8.610038610038611</v>
      </c>
      <c r="DG18" s="171">
        <v>10.733590733590734</v>
      </c>
      <c r="DH18" s="171">
        <v>12.625482625482626</v>
      </c>
      <c r="DI18" s="171">
        <v>10.810810810810811</v>
      </c>
      <c r="DJ18" s="166">
        <v>30.231660231660229</v>
      </c>
      <c r="DK18" s="170">
        <v>42.553191489361701</v>
      </c>
      <c r="DL18" s="171">
        <v>12.340425531914894</v>
      </c>
      <c r="DM18" s="171">
        <v>16.170212765957448</v>
      </c>
      <c r="DN18" s="171">
        <v>12.340425531914894</v>
      </c>
      <c r="DO18" s="171">
        <v>4.6808510638297873</v>
      </c>
      <c r="DP18" s="166">
        <v>11.914893617021278</v>
      </c>
      <c r="DQ18" s="170">
        <v>32.017543859649123</v>
      </c>
      <c r="DR18" s="171">
        <v>8.3333333333333321</v>
      </c>
      <c r="DS18" s="171">
        <v>12.280701754385964</v>
      </c>
      <c r="DT18" s="171">
        <v>9.2105263157894726</v>
      </c>
      <c r="DU18" s="171">
        <v>12.280701754385964</v>
      </c>
      <c r="DV18" s="166">
        <v>25.877192982456144</v>
      </c>
      <c r="DW18" s="170">
        <v>38.963210702341136</v>
      </c>
      <c r="DX18" s="171">
        <v>9.9498327759197327</v>
      </c>
      <c r="DY18" s="171">
        <v>10.451505016722408</v>
      </c>
      <c r="DZ18" s="171">
        <v>10.117056856187292</v>
      </c>
      <c r="EA18" s="171">
        <v>7.2742474916387954</v>
      </c>
      <c r="EB18" s="166">
        <v>23.244147157190636</v>
      </c>
      <c r="EC18" s="170">
        <v>15.229485396383865</v>
      </c>
      <c r="ED18" s="171">
        <v>7.8581363004172458</v>
      </c>
      <c r="EE18" s="171">
        <v>10.292072322670375</v>
      </c>
      <c r="EF18" s="171">
        <v>12.23922114047288</v>
      </c>
      <c r="EG18" s="171">
        <v>14.255910987482615</v>
      </c>
      <c r="EH18" s="166">
        <v>40.12517385257302</v>
      </c>
      <c r="EI18" s="170">
        <v>47.084233261339094</v>
      </c>
      <c r="EJ18" s="171">
        <v>9.5032397408207352</v>
      </c>
      <c r="EK18" s="171">
        <v>6.4794816414686833</v>
      </c>
      <c r="EL18" s="171">
        <v>6.6954643628509727</v>
      </c>
      <c r="EM18" s="171">
        <v>5.3995680345572357</v>
      </c>
      <c r="EN18" s="166">
        <v>24.838012958963283</v>
      </c>
    </row>
    <row r="19" spans="1:144" ht="10.5" customHeight="1" x14ac:dyDescent="0.2">
      <c r="A19" s="63" t="s">
        <v>27</v>
      </c>
      <c r="B19" s="69">
        <v>13697</v>
      </c>
      <c r="C19" s="74">
        <v>1250676.5741976965</v>
      </c>
      <c r="D19" s="74">
        <v>68257</v>
      </c>
      <c r="E19" s="92">
        <v>69774</v>
      </c>
      <c r="F19" s="92">
        <v>43776.596243664215</v>
      </c>
      <c r="G19" s="118">
        <v>55939.171010780497</v>
      </c>
      <c r="H19" s="123">
        <v>81.953749814349436</v>
      </c>
      <c r="I19" s="92">
        <v>29.393297802438489</v>
      </c>
      <c r="J19" s="92">
        <v>9.0822807914141777</v>
      </c>
      <c r="K19" s="92">
        <v>10.863692779440754</v>
      </c>
      <c r="L19" s="92">
        <v>11.425859677301599</v>
      </c>
      <c r="M19" s="92">
        <v>9.9218807038037529</v>
      </c>
      <c r="N19" s="118">
        <v>29.312988245601229</v>
      </c>
      <c r="O19" s="155">
        <v>4.3712313266686724</v>
      </c>
      <c r="P19" s="156">
        <v>2.7136267650096397</v>
      </c>
      <c r="Q19" s="156">
        <v>3.4096063870250695</v>
      </c>
      <c r="R19" s="160">
        <v>78.001051242088806</v>
      </c>
      <c r="S19" s="155">
        <v>5.324336091291392</v>
      </c>
      <c r="T19" s="156">
        <v>3.195466570550217</v>
      </c>
      <c r="U19" s="156">
        <v>4.0717053550447693</v>
      </c>
      <c r="V19" s="160">
        <v>76.473484867053088</v>
      </c>
      <c r="W19" s="155">
        <v>5.6834977953074901</v>
      </c>
      <c r="X19" s="156">
        <v>3.3876558588123955</v>
      </c>
      <c r="Y19" s="156">
        <v>4.3482493187469773</v>
      </c>
      <c r="Z19" s="160">
        <v>76.506571751238383</v>
      </c>
      <c r="AA19" s="155">
        <v>5.8546538778198727</v>
      </c>
      <c r="AB19" s="156">
        <v>3.5699671778186866</v>
      </c>
      <c r="AC19" s="156">
        <v>4.5596336846639556</v>
      </c>
      <c r="AD19" s="160">
        <v>77.880499510619231</v>
      </c>
      <c r="AE19" s="155">
        <v>5.9638787450247053</v>
      </c>
      <c r="AF19" s="156">
        <v>4.1796587547412818</v>
      </c>
      <c r="AG19" s="156">
        <v>5.3739387684202962</v>
      </c>
      <c r="AH19" s="160">
        <v>90.108115844968182</v>
      </c>
      <c r="AI19" s="155">
        <v>5.4993622780801372</v>
      </c>
      <c r="AJ19" s="156">
        <v>3.9141493049225908</v>
      </c>
      <c r="AK19" s="156">
        <v>5.1079866495822444</v>
      </c>
      <c r="AL19" s="160">
        <v>92.883254299178034</v>
      </c>
      <c r="AM19" s="155">
        <v>5.2299722704647564</v>
      </c>
      <c r="AN19" s="156">
        <v>2.8220050041090636</v>
      </c>
      <c r="AO19" s="156">
        <v>3.6519059757826393</v>
      </c>
      <c r="AP19" s="160">
        <v>69.82648830484365</v>
      </c>
      <c r="AQ19" s="155">
        <v>5.4328637386360574</v>
      </c>
      <c r="AR19" s="156">
        <v>3.172618454406257</v>
      </c>
      <c r="AS19" s="156">
        <v>4.0420364209866175</v>
      </c>
      <c r="AT19" s="160">
        <v>74.399738617434707</v>
      </c>
      <c r="AU19" s="155">
        <v>5.5179838359352011</v>
      </c>
      <c r="AV19" s="156">
        <v>1.8799862231624169</v>
      </c>
      <c r="AW19" s="156">
        <v>2.2474685163036785</v>
      </c>
      <c r="AX19" s="160">
        <v>40.729885826546138</v>
      </c>
      <c r="AY19" s="155">
        <v>5.74329833390592</v>
      </c>
      <c r="AZ19" s="156">
        <v>3.9551246609489028</v>
      </c>
      <c r="BA19" s="156">
        <v>5.024013493372764</v>
      </c>
      <c r="BB19" s="160">
        <v>87.476101732573909</v>
      </c>
      <c r="BC19" s="155">
        <v>5.3661385186518062</v>
      </c>
      <c r="BD19" s="156">
        <v>2.8086360257255936</v>
      </c>
      <c r="BE19" s="156">
        <v>3.4742799611378503</v>
      </c>
      <c r="BF19" s="160">
        <v>64.744507601915785</v>
      </c>
      <c r="BG19" s="155">
        <v>5.5269469944026905</v>
      </c>
      <c r="BH19" s="156">
        <v>4.5988897675591485</v>
      </c>
      <c r="BI19" s="156">
        <v>5.8419767778009613</v>
      </c>
      <c r="BJ19" s="160">
        <v>105.69988790768774</v>
      </c>
      <c r="BK19" s="155">
        <v>5.1122832580724262</v>
      </c>
      <c r="BL19" s="156">
        <v>3.1055752881829655</v>
      </c>
      <c r="BM19" s="156">
        <v>3.9726362154542332</v>
      </c>
      <c r="BN19" s="160">
        <v>77.70767023093525</v>
      </c>
      <c r="BO19" s="170">
        <v>40.629550800940969</v>
      </c>
      <c r="BP19" s="171">
        <v>6.8668085583062615</v>
      </c>
      <c r="BQ19" s="171">
        <v>6.3963257533325866</v>
      </c>
      <c r="BR19" s="171">
        <v>7.8749859975355658</v>
      </c>
      <c r="BS19" s="171">
        <v>7.59493670886076</v>
      </c>
      <c r="BT19" s="166">
        <v>30.637392181023859</v>
      </c>
      <c r="BU19" s="170">
        <v>13.594926674593738</v>
      </c>
      <c r="BV19" s="171">
        <v>12.841854934601665</v>
      </c>
      <c r="BW19" s="171">
        <v>17.47919143876338</v>
      </c>
      <c r="BX19" s="171">
        <v>17.320650019817677</v>
      </c>
      <c r="BY19" s="171">
        <v>11.850971066191041</v>
      </c>
      <c r="BZ19" s="166">
        <v>26.912405866032501</v>
      </c>
      <c r="CA19" s="170">
        <v>3.3355570380253505</v>
      </c>
      <c r="CB19" s="171">
        <v>15.61040693795864</v>
      </c>
      <c r="CC19" s="171">
        <v>20.947298198799199</v>
      </c>
      <c r="CD19" s="171">
        <v>17.61174116077385</v>
      </c>
      <c r="CE19" s="171">
        <v>16.611074049366245</v>
      </c>
      <c r="CF19" s="166">
        <v>25.883922615076717</v>
      </c>
      <c r="CG19" s="170">
        <v>1.160092807424594</v>
      </c>
      <c r="CH19" s="171">
        <v>11.136890951276101</v>
      </c>
      <c r="CI19" s="171">
        <v>22.96983758700696</v>
      </c>
      <c r="CJ19" s="171">
        <v>20.649651972157773</v>
      </c>
      <c r="CK19" s="171">
        <v>16.705336426914151</v>
      </c>
      <c r="CL19" s="166">
        <v>27.378190255220421</v>
      </c>
      <c r="CM19" s="170">
        <v>0.31545741324921134</v>
      </c>
      <c r="CN19" s="171">
        <v>7.8864353312302837</v>
      </c>
      <c r="CO19" s="171">
        <v>19.873817034700316</v>
      </c>
      <c r="CP19" s="171">
        <v>22.712933753943219</v>
      </c>
      <c r="CQ19" s="171">
        <v>19.242902208201894</v>
      </c>
      <c r="CR19" s="166">
        <v>29.968454258675081</v>
      </c>
      <c r="CS19" s="170">
        <v>20.17626691847655</v>
      </c>
      <c r="CT19" s="171">
        <v>7.302486622599937</v>
      </c>
      <c r="CU19" s="171">
        <v>9.0651558073654392</v>
      </c>
      <c r="CV19" s="171">
        <v>12.621970412338685</v>
      </c>
      <c r="CW19" s="171">
        <v>12.023921938936104</v>
      </c>
      <c r="CX19" s="166">
        <v>38.81019830028329</v>
      </c>
      <c r="CY19" s="170">
        <v>34.651329978432784</v>
      </c>
      <c r="CZ19" s="171">
        <v>7.7641984184040256</v>
      </c>
      <c r="DA19" s="171">
        <v>8.4112149532710276</v>
      </c>
      <c r="DB19" s="171">
        <v>9.7771387491013666</v>
      </c>
      <c r="DC19" s="171">
        <v>9.7052480230050318</v>
      </c>
      <c r="DD19" s="166">
        <v>29.690869877785765</v>
      </c>
      <c r="DE19" s="170">
        <v>30.652118751585895</v>
      </c>
      <c r="DF19" s="171">
        <v>9.3377315402182184</v>
      </c>
      <c r="DG19" s="171">
        <v>12.306521187515859</v>
      </c>
      <c r="DH19" s="171">
        <v>12.534889621923369</v>
      </c>
      <c r="DI19" s="171">
        <v>9.1601116467901544</v>
      </c>
      <c r="DJ19" s="166">
        <v>26.008627251966505</v>
      </c>
      <c r="DK19" s="170">
        <v>48.222222222222221</v>
      </c>
      <c r="DL19" s="171">
        <v>12.222222222222221</v>
      </c>
      <c r="DM19" s="171">
        <v>14.444444444444443</v>
      </c>
      <c r="DN19" s="171">
        <v>9.5555555555555554</v>
      </c>
      <c r="DO19" s="171">
        <v>4.8888888888888893</v>
      </c>
      <c r="DP19" s="166">
        <v>10.666666666666668</v>
      </c>
      <c r="DQ19" s="170">
        <v>35.866983372921609</v>
      </c>
      <c r="DR19" s="171">
        <v>6.4133016627078394</v>
      </c>
      <c r="DS19" s="171">
        <v>12.114014251781473</v>
      </c>
      <c r="DT19" s="171">
        <v>10.926365795724466</v>
      </c>
      <c r="DU19" s="171">
        <v>8.7885985748218527</v>
      </c>
      <c r="DV19" s="166">
        <v>25.890736342042754</v>
      </c>
      <c r="DW19" s="170">
        <v>38.484251968503933</v>
      </c>
      <c r="DX19" s="171">
        <v>12.352362204724409</v>
      </c>
      <c r="DY19" s="171">
        <v>11.072834645669291</v>
      </c>
      <c r="DZ19" s="171">
        <v>9.8917322834645667</v>
      </c>
      <c r="EA19" s="171">
        <v>9.1043307086614185</v>
      </c>
      <c r="EB19" s="166">
        <v>19.094488188976378</v>
      </c>
      <c r="EC19" s="170">
        <v>17.17534410532615</v>
      </c>
      <c r="ED19" s="171">
        <v>8.6175942549371634</v>
      </c>
      <c r="EE19" s="171">
        <v>12.148414123279473</v>
      </c>
      <c r="EF19" s="171">
        <v>11.370436864153202</v>
      </c>
      <c r="EG19" s="171">
        <v>11.430281268701377</v>
      </c>
      <c r="EH19" s="166">
        <v>39.257929383602637</v>
      </c>
      <c r="EI19" s="170">
        <v>43.185840707964601</v>
      </c>
      <c r="EJ19" s="171">
        <v>9.557522123893806</v>
      </c>
      <c r="EK19" s="171">
        <v>9.0265486725663724</v>
      </c>
      <c r="EL19" s="171">
        <v>8.6725663716814161</v>
      </c>
      <c r="EM19" s="171">
        <v>7.4336283185840708</v>
      </c>
      <c r="EN19" s="166">
        <v>22.123893805309734</v>
      </c>
    </row>
    <row r="20" spans="1:144" ht="10.5" customHeight="1" x14ac:dyDescent="0.2">
      <c r="A20" s="63" t="s">
        <v>28</v>
      </c>
      <c r="B20" s="69">
        <v>7272</v>
      </c>
      <c r="C20" s="74">
        <v>683063.50789915281</v>
      </c>
      <c r="D20" s="74">
        <v>37448</v>
      </c>
      <c r="E20" s="92">
        <v>33586</v>
      </c>
      <c r="F20" s="92">
        <v>20358.57179427952</v>
      </c>
      <c r="G20" s="118">
        <v>26102.114857305583</v>
      </c>
      <c r="H20" s="123">
        <v>69.702293466421665</v>
      </c>
      <c r="I20" s="92">
        <v>35.451045104510456</v>
      </c>
      <c r="J20" s="92">
        <v>9.1446644664466454</v>
      </c>
      <c r="K20" s="92">
        <v>10.78107810781078</v>
      </c>
      <c r="L20" s="92">
        <v>10.616061606160617</v>
      </c>
      <c r="M20" s="92">
        <v>9.2959295929592951</v>
      </c>
      <c r="N20" s="118">
        <v>24.71122112211221</v>
      </c>
      <c r="O20" s="155">
        <v>4.3847688868640855</v>
      </c>
      <c r="P20" s="156">
        <v>2.2090509303968435</v>
      </c>
      <c r="Q20" s="156">
        <v>2.7746425082927662</v>
      </c>
      <c r="R20" s="160">
        <v>63.279105008363281</v>
      </c>
      <c r="S20" s="155">
        <v>5.3584077478973233</v>
      </c>
      <c r="T20" s="156">
        <v>2.7439000510150655</v>
      </c>
      <c r="U20" s="156">
        <v>3.5144555319858592</v>
      </c>
      <c r="V20" s="160">
        <v>65.587683829491255</v>
      </c>
      <c r="W20" s="155">
        <v>5.6844437684277258</v>
      </c>
      <c r="X20" s="156">
        <v>2.9618334355694462</v>
      </c>
      <c r="Y20" s="156">
        <v>3.8374813332121773</v>
      </c>
      <c r="Z20" s="160">
        <v>67.508475579020384</v>
      </c>
      <c r="AA20" s="155">
        <v>5.854164518173981</v>
      </c>
      <c r="AB20" s="156">
        <v>3.1275458773538469</v>
      </c>
      <c r="AC20" s="156">
        <v>4.0261418396591466</v>
      </c>
      <c r="AD20" s="160">
        <v>68.773978373176519</v>
      </c>
      <c r="AE20" s="155">
        <v>5.9681949260777332</v>
      </c>
      <c r="AF20" s="156">
        <v>3.4701033029365025</v>
      </c>
      <c r="AG20" s="156">
        <v>4.4631441492487944</v>
      </c>
      <c r="AH20" s="160">
        <v>74.782144426069365</v>
      </c>
      <c r="AI20" s="155">
        <v>5.5722768089861932</v>
      </c>
      <c r="AJ20" s="156">
        <v>3.1877973987529331</v>
      </c>
      <c r="AK20" s="156">
        <v>4.1351141011773098</v>
      </c>
      <c r="AL20" s="160">
        <v>74.208698579165571</v>
      </c>
      <c r="AM20" s="155">
        <v>5.3660429335938984</v>
      </c>
      <c r="AN20" s="156">
        <v>2.5303162774000847</v>
      </c>
      <c r="AO20" s="156">
        <v>3.2573328723525079</v>
      </c>
      <c r="AP20" s="160">
        <v>60.702698667580634</v>
      </c>
      <c r="AQ20" s="155">
        <v>5.2946756194826516</v>
      </c>
      <c r="AR20" s="156">
        <v>2.5630442142216747</v>
      </c>
      <c r="AS20" s="156">
        <v>3.2738472556715177</v>
      </c>
      <c r="AT20" s="160">
        <v>61.832820194401428</v>
      </c>
      <c r="AU20" s="155">
        <v>5.673065818734603</v>
      </c>
      <c r="AV20" s="156">
        <v>1.8496673261146863</v>
      </c>
      <c r="AW20" s="156">
        <v>2.2242236022587387</v>
      </c>
      <c r="AX20" s="160">
        <v>39.206730070247261</v>
      </c>
      <c r="AY20" s="155">
        <v>5.6835998420108709</v>
      </c>
      <c r="AZ20" s="156">
        <v>4.2670523899667812</v>
      </c>
      <c r="BA20" s="156">
        <v>5.5074483003995161</v>
      </c>
      <c r="BB20" s="160">
        <v>96.900704720460539</v>
      </c>
      <c r="BC20" s="155">
        <v>5.5765062904631995</v>
      </c>
      <c r="BD20" s="156">
        <v>2.7992662541658353</v>
      </c>
      <c r="BE20" s="156">
        <v>3.5754986644674052</v>
      </c>
      <c r="BF20" s="160">
        <v>64.117181587011444</v>
      </c>
      <c r="BG20" s="155">
        <v>5.5387003369008942</v>
      </c>
      <c r="BH20" s="156">
        <v>3.8345860990172009</v>
      </c>
      <c r="BI20" s="156">
        <v>4.9425074973077594</v>
      </c>
      <c r="BJ20" s="160">
        <v>89.235871173223174</v>
      </c>
      <c r="BK20" s="155">
        <v>5.2280074567003814</v>
      </c>
      <c r="BL20" s="156">
        <v>2.8007845329249865</v>
      </c>
      <c r="BM20" s="156">
        <v>3.5639118495770989</v>
      </c>
      <c r="BN20" s="160">
        <v>68.16960149912326</v>
      </c>
      <c r="BO20" s="170">
        <v>46.529774127310063</v>
      </c>
      <c r="BP20" s="171">
        <v>6.6735112936344976</v>
      </c>
      <c r="BQ20" s="171">
        <v>7.1868583162217652</v>
      </c>
      <c r="BR20" s="171">
        <v>7.2073921971252561</v>
      </c>
      <c r="BS20" s="171">
        <v>6.8993839835728963</v>
      </c>
      <c r="BT20" s="166">
        <v>25.503080082135526</v>
      </c>
      <c r="BU20" s="170">
        <v>18.323442136498517</v>
      </c>
      <c r="BV20" s="171">
        <v>12.314540059347182</v>
      </c>
      <c r="BW20" s="171">
        <v>16.839762611275965</v>
      </c>
      <c r="BX20" s="171">
        <v>16.839762611275965</v>
      </c>
      <c r="BY20" s="171">
        <v>12.98219584569733</v>
      </c>
      <c r="BZ20" s="166">
        <v>22.700296735905045</v>
      </c>
      <c r="CA20" s="170">
        <v>8.4848484848484862</v>
      </c>
      <c r="CB20" s="171">
        <v>16.515151515151516</v>
      </c>
      <c r="CC20" s="171">
        <v>21.818181818181817</v>
      </c>
      <c r="CD20" s="171">
        <v>15.909090909090908</v>
      </c>
      <c r="CE20" s="171">
        <v>13.939393939393941</v>
      </c>
      <c r="CF20" s="166">
        <v>23.333333333333332</v>
      </c>
      <c r="CG20" s="170">
        <v>2.6086956521739131</v>
      </c>
      <c r="CH20" s="171">
        <v>20.434782608695652</v>
      </c>
      <c r="CI20" s="171">
        <v>15.65217391304348</v>
      </c>
      <c r="CJ20" s="171">
        <v>21.304347826086957</v>
      </c>
      <c r="CK20" s="171">
        <v>16.086956521739129</v>
      </c>
      <c r="CL20" s="166">
        <v>23.913043478260871</v>
      </c>
      <c r="CM20" s="170">
        <v>1.8292682926829267</v>
      </c>
      <c r="CN20" s="171">
        <v>10.975609756097562</v>
      </c>
      <c r="CO20" s="171">
        <v>16.463414634146343</v>
      </c>
      <c r="CP20" s="171">
        <v>24.390243902439025</v>
      </c>
      <c r="CQ20" s="171">
        <v>21.951219512195124</v>
      </c>
      <c r="CR20" s="166">
        <v>24.390243902439025</v>
      </c>
      <c r="CS20" s="170">
        <v>29.404309252217999</v>
      </c>
      <c r="CT20" s="171">
        <v>6.3371356147021549</v>
      </c>
      <c r="CU20" s="171">
        <v>10.266159695817491</v>
      </c>
      <c r="CV20" s="171">
        <v>13.181242078580482</v>
      </c>
      <c r="CW20" s="171">
        <v>9.6324461343472745</v>
      </c>
      <c r="CX20" s="166">
        <v>31.178707224334602</v>
      </c>
      <c r="CY20" s="170">
        <v>43.143297380585516</v>
      </c>
      <c r="CZ20" s="171">
        <v>7.8582434514637907</v>
      </c>
      <c r="DA20" s="171">
        <v>8.6286594761171038</v>
      </c>
      <c r="DB20" s="171">
        <v>8.3204930662557786</v>
      </c>
      <c r="DC20" s="171">
        <v>8.1664098613251142</v>
      </c>
      <c r="DD20" s="166">
        <v>23.882896764252695</v>
      </c>
      <c r="DE20" s="170">
        <v>35.831285831285832</v>
      </c>
      <c r="DF20" s="171">
        <v>9.6232596232596244</v>
      </c>
      <c r="DG20" s="171">
        <v>11.302211302211303</v>
      </c>
      <c r="DH20" s="171">
        <v>10.237510237510238</v>
      </c>
      <c r="DI20" s="171">
        <v>9.0499590499590497</v>
      </c>
      <c r="DJ20" s="166">
        <v>23.955773955773957</v>
      </c>
      <c r="DK20" s="170">
        <v>46.186440677966104</v>
      </c>
      <c r="DL20" s="171">
        <v>12.288135593220339</v>
      </c>
      <c r="DM20" s="171">
        <v>13.559322033898304</v>
      </c>
      <c r="DN20" s="171">
        <v>11.016949152542372</v>
      </c>
      <c r="DO20" s="171">
        <v>5.508474576271186</v>
      </c>
      <c r="DP20" s="166">
        <v>11.440677966101696</v>
      </c>
      <c r="DQ20" s="170">
        <v>41.228070175438596</v>
      </c>
      <c r="DR20" s="171">
        <v>8.3333333333333321</v>
      </c>
      <c r="DS20" s="171">
        <v>10.087719298245613</v>
      </c>
      <c r="DT20" s="171">
        <v>6.140350877192982</v>
      </c>
      <c r="DU20" s="171">
        <v>10.087719298245613</v>
      </c>
      <c r="DV20" s="166">
        <v>24.12280701754386</v>
      </c>
      <c r="DW20" s="170">
        <v>41.900826446280995</v>
      </c>
      <c r="DX20" s="171">
        <v>11.074380165289256</v>
      </c>
      <c r="DY20" s="171">
        <v>11.487603305785123</v>
      </c>
      <c r="DZ20" s="171">
        <v>9.8347107438016526</v>
      </c>
      <c r="EA20" s="171">
        <v>8.3471074380165291</v>
      </c>
      <c r="EB20" s="166">
        <v>17.355371900826448</v>
      </c>
      <c r="EC20" s="170">
        <v>22.516025641025642</v>
      </c>
      <c r="ED20" s="171">
        <v>9.375</v>
      </c>
      <c r="EE20" s="171">
        <v>11.378205128205128</v>
      </c>
      <c r="EF20" s="171">
        <v>13.060897435897436</v>
      </c>
      <c r="EG20" s="171">
        <v>12.01923076923077</v>
      </c>
      <c r="EH20" s="166">
        <v>31.650641025641026</v>
      </c>
      <c r="EI20" s="170">
        <v>43.835616438356162</v>
      </c>
      <c r="EJ20" s="171">
        <v>6.1643835616438354</v>
      </c>
      <c r="EK20" s="171">
        <v>7.7625570776255701</v>
      </c>
      <c r="EL20" s="171">
        <v>8.9041095890410951</v>
      </c>
      <c r="EM20" s="171">
        <v>8.9041095890410951</v>
      </c>
      <c r="EN20" s="166">
        <v>24.429223744292237</v>
      </c>
    </row>
    <row r="21" spans="1:144" ht="10.5" customHeight="1" thickBot="1" x14ac:dyDescent="0.25">
      <c r="A21" s="64" t="s">
        <v>29</v>
      </c>
      <c r="B21" s="70">
        <v>580</v>
      </c>
      <c r="C21" s="75">
        <v>31345.926467680991</v>
      </c>
      <c r="D21" s="75">
        <v>1591</v>
      </c>
      <c r="E21" s="93">
        <v>1401</v>
      </c>
      <c r="F21" s="93">
        <v>945.32539057885913</v>
      </c>
      <c r="G21" s="119">
        <v>1218.9431174976094</v>
      </c>
      <c r="H21" s="124">
        <v>76.61490367678249</v>
      </c>
      <c r="I21" s="93">
        <v>34.482758620689658</v>
      </c>
      <c r="J21" s="93">
        <v>8.4482758620689662</v>
      </c>
      <c r="K21" s="93">
        <v>12.068965517241379</v>
      </c>
      <c r="L21" s="93">
        <v>8.6206896551724146</v>
      </c>
      <c r="M21" s="93">
        <v>7.0689655172413799</v>
      </c>
      <c r="N21" s="119">
        <v>29.310344827586203</v>
      </c>
      <c r="O21" s="157">
        <v>4.3089401471534021</v>
      </c>
      <c r="P21" s="158">
        <v>2.2627245081990912</v>
      </c>
      <c r="Q21" s="158">
        <v>2.8609008815203749</v>
      </c>
      <c r="R21" s="161">
        <v>66.394537492249938</v>
      </c>
      <c r="S21" s="157">
        <v>5.4177647772192286</v>
      </c>
      <c r="T21" s="158">
        <v>2.5722817438998118</v>
      </c>
      <c r="U21" s="158">
        <v>3.3112891453350959</v>
      </c>
      <c r="V21" s="161">
        <v>61.119101354464455</v>
      </c>
      <c r="W21" s="157">
        <v>5.6568499950641513</v>
      </c>
      <c r="X21" s="158">
        <v>4.5441013713704201</v>
      </c>
      <c r="Y21" s="158">
        <v>5.9260416503191786</v>
      </c>
      <c r="Z21" s="161">
        <v>104.75868470067103</v>
      </c>
      <c r="AA21" s="157">
        <v>5.8378155479158611</v>
      </c>
      <c r="AB21" s="158">
        <v>4.5255567722585388</v>
      </c>
      <c r="AC21" s="158">
        <v>5.9745944620510061</v>
      </c>
      <c r="AD21" s="161">
        <v>102.34298108620399</v>
      </c>
      <c r="AE21" s="157">
        <v>5.926205219864392</v>
      </c>
      <c r="AF21" s="158">
        <v>1.953363931377496</v>
      </c>
      <c r="AG21" s="158">
        <v>2.5133431015728505</v>
      </c>
      <c r="AH21" s="161">
        <v>42.410665988215015</v>
      </c>
      <c r="AI21" s="157">
        <v>4.7047195448821491</v>
      </c>
      <c r="AJ21" s="158">
        <v>3.035491961717085</v>
      </c>
      <c r="AK21" s="158">
        <v>3.9107711734764927</v>
      </c>
      <c r="AL21" s="161">
        <v>83.124427209070888</v>
      </c>
      <c r="AM21" s="157">
        <v>4.5932671264490601</v>
      </c>
      <c r="AN21" s="158">
        <v>1.9426193216230176</v>
      </c>
      <c r="AO21" s="158">
        <v>2.4567294987794246</v>
      </c>
      <c r="AP21" s="161">
        <v>53.48544796432644</v>
      </c>
      <c r="AQ21" s="157">
        <v>5.0456756894727635</v>
      </c>
      <c r="AR21" s="158">
        <v>3.2989153171482064</v>
      </c>
      <c r="AS21" s="158">
        <v>4.1895721302442253</v>
      </c>
      <c r="AT21" s="161">
        <v>83.032925381734245</v>
      </c>
      <c r="AU21" s="157">
        <v>4.7149956998360931</v>
      </c>
      <c r="AV21" s="158">
        <v>1.258510621797468</v>
      </c>
      <c r="AW21" s="158">
        <v>1.5970341442659668</v>
      </c>
      <c r="AX21" s="161">
        <v>33.871380716667133</v>
      </c>
      <c r="AY21" s="157">
        <v>5.4295180635290654</v>
      </c>
      <c r="AZ21" s="158">
        <v>4.5029825732764515</v>
      </c>
      <c r="BA21" s="158">
        <v>6.0123347991761094</v>
      </c>
      <c r="BB21" s="161">
        <v>110.73422592627358</v>
      </c>
      <c r="BC21" s="157">
        <v>5.1321623544248753</v>
      </c>
      <c r="BD21" s="158">
        <v>2.5037121481202256</v>
      </c>
      <c r="BE21" s="158">
        <v>3.2890241632349131</v>
      </c>
      <c r="BF21" s="161">
        <v>64.086518237272145</v>
      </c>
      <c r="BG21" s="157">
        <v>5.3476742012143452</v>
      </c>
      <c r="BH21" s="158">
        <v>3.4193272812769133</v>
      </c>
      <c r="BI21" s="158">
        <v>4.4896421818793009</v>
      </c>
      <c r="BJ21" s="161">
        <v>83.955043126221057</v>
      </c>
      <c r="BK21" s="157">
        <v>5.3470789297734873</v>
      </c>
      <c r="BL21" s="158">
        <v>1.4791454245558828</v>
      </c>
      <c r="BM21" s="158">
        <v>1.8909444710811991</v>
      </c>
      <c r="BN21" s="161">
        <v>35.364065051519688</v>
      </c>
      <c r="BO21" s="172">
        <v>41.355140186915889</v>
      </c>
      <c r="BP21" s="173">
        <v>7.2429906542056068</v>
      </c>
      <c r="BQ21" s="173">
        <v>9.3457943925233646</v>
      </c>
      <c r="BR21" s="173">
        <v>7.9439252336448591</v>
      </c>
      <c r="BS21" s="173">
        <v>6.0747663551401869</v>
      </c>
      <c r="BT21" s="167">
        <v>28.037383177570092</v>
      </c>
      <c r="BU21" s="172">
        <v>21.978021978021978</v>
      </c>
      <c r="BV21" s="173">
        <v>16.483516483516482</v>
      </c>
      <c r="BW21" s="173">
        <v>18.681318681318682</v>
      </c>
      <c r="BX21" s="173">
        <v>9.8901098901098905</v>
      </c>
      <c r="BY21" s="173">
        <v>7.6923076923076925</v>
      </c>
      <c r="BZ21" s="167">
        <v>25.274725274725274</v>
      </c>
      <c r="CA21" s="172">
        <v>5.7692307692307692</v>
      </c>
      <c r="CB21" s="173">
        <v>1.9230769230769231</v>
      </c>
      <c r="CC21" s="173">
        <v>21.153846153846153</v>
      </c>
      <c r="CD21" s="173">
        <v>11.538461538461538</v>
      </c>
      <c r="CE21" s="173">
        <v>13.461538461538462</v>
      </c>
      <c r="CF21" s="167">
        <v>46.153846153846153</v>
      </c>
      <c r="CG21" s="172">
        <v>0</v>
      </c>
      <c r="CH21" s="173">
        <v>0</v>
      </c>
      <c r="CI21" s="173">
        <v>33.333333333333329</v>
      </c>
      <c r="CJ21" s="173">
        <v>16.666666666666664</v>
      </c>
      <c r="CK21" s="173">
        <v>0</v>
      </c>
      <c r="CL21" s="167">
        <v>50</v>
      </c>
      <c r="CM21" s="172">
        <v>0</v>
      </c>
      <c r="CN21" s="173">
        <v>66.666666666666657</v>
      </c>
      <c r="CO21" s="173">
        <v>0</v>
      </c>
      <c r="CP21" s="173">
        <v>0</v>
      </c>
      <c r="CQ21" s="173">
        <v>33.333333333333329</v>
      </c>
      <c r="CR21" s="167">
        <v>0</v>
      </c>
      <c r="CS21" s="172">
        <v>37.5</v>
      </c>
      <c r="CT21" s="173">
        <v>8.9285714285714288</v>
      </c>
      <c r="CU21" s="173">
        <v>7.1428571428571423</v>
      </c>
      <c r="CV21" s="173">
        <v>5.3571428571428568</v>
      </c>
      <c r="CW21" s="173">
        <v>5.3571428571428568</v>
      </c>
      <c r="CX21" s="167">
        <v>35.714285714285715</v>
      </c>
      <c r="CY21" s="172">
        <v>44.086021505376344</v>
      </c>
      <c r="CZ21" s="173">
        <v>8.6021505376344098</v>
      </c>
      <c r="DA21" s="173">
        <v>6.4516129032258061</v>
      </c>
      <c r="DB21" s="173">
        <v>9.67741935483871</v>
      </c>
      <c r="DC21" s="173">
        <v>8.6021505376344098</v>
      </c>
      <c r="DD21" s="167">
        <v>22.58064516129032</v>
      </c>
      <c r="DE21" s="172">
        <v>29.257641921397383</v>
      </c>
      <c r="DF21" s="173">
        <v>7.860262008733625</v>
      </c>
      <c r="DG21" s="173">
        <v>11.790393013100436</v>
      </c>
      <c r="DH21" s="173">
        <v>8.7336244541484707</v>
      </c>
      <c r="DI21" s="173">
        <v>8.2969432314410483</v>
      </c>
      <c r="DJ21" s="167">
        <v>34.061135371179041</v>
      </c>
      <c r="DK21" s="172">
        <v>55.555555555555557</v>
      </c>
      <c r="DL21" s="173">
        <v>11.111111111111111</v>
      </c>
      <c r="DM21" s="173">
        <v>22.222222222222221</v>
      </c>
      <c r="DN21" s="173">
        <v>0</v>
      </c>
      <c r="DO21" s="173">
        <v>0</v>
      </c>
      <c r="DP21" s="167">
        <v>11.111111111111111</v>
      </c>
      <c r="DQ21" s="172">
        <v>42.857142857142854</v>
      </c>
      <c r="DR21" s="173">
        <v>0</v>
      </c>
      <c r="DS21" s="173">
        <v>14.285714285714285</v>
      </c>
      <c r="DT21" s="173">
        <v>7.1428571428571423</v>
      </c>
      <c r="DU21" s="173">
        <v>0</v>
      </c>
      <c r="DV21" s="167">
        <v>35.714285714285715</v>
      </c>
      <c r="DW21" s="172">
        <v>37.288135593220339</v>
      </c>
      <c r="DX21" s="173">
        <v>11.864406779661017</v>
      </c>
      <c r="DY21" s="173">
        <v>13.559322033898304</v>
      </c>
      <c r="DZ21" s="173">
        <v>11.864406779661017</v>
      </c>
      <c r="EA21" s="173">
        <v>5.0847457627118651</v>
      </c>
      <c r="EB21" s="167">
        <v>20.33898305084746</v>
      </c>
      <c r="EC21" s="172">
        <v>26.373626373626376</v>
      </c>
      <c r="ED21" s="173">
        <v>7.6923076923076925</v>
      </c>
      <c r="EE21" s="173">
        <v>20.87912087912088</v>
      </c>
      <c r="EF21" s="173">
        <v>8.791208791208792</v>
      </c>
      <c r="EG21" s="173">
        <v>6.593406593406594</v>
      </c>
      <c r="EH21" s="167">
        <v>29.670329670329672</v>
      </c>
      <c r="EI21" s="172">
        <v>51.851851851851848</v>
      </c>
      <c r="EJ21" s="173">
        <v>11.111111111111111</v>
      </c>
      <c r="EK21" s="173">
        <v>7.4074074074074066</v>
      </c>
      <c r="EL21" s="173">
        <v>7.4074074074074066</v>
      </c>
      <c r="EM21" s="173">
        <v>7.4074074074074066</v>
      </c>
      <c r="EN21" s="167">
        <v>14.814814814814813</v>
      </c>
    </row>
    <row r="22" spans="1:144" s="33" customFormat="1" ht="12" thickBot="1" x14ac:dyDescent="0.25">
      <c r="A22" s="209" t="s">
        <v>109</v>
      </c>
      <c r="B22" s="71">
        <v>108967</v>
      </c>
      <c r="C22" s="61">
        <v>12304595.864615738</v>
      </c>
      <c r="D22" s="61">
        <v>684582</v>
      </c>
      <c r="E22" s="61">
        <v>627105</v>
      </c>
      <c r="F22" s="61">
        <v>416231.35219590529</v>
      </c>
      <c r="G22" s="62">
        <v>530771.04243605572</v>
      </c>
      <c r="H22" s="60">
        <v>77.532135293661781</v>
      </c>
      <c r="I22" s="61">
        <v>33.949727899272261</v>
      </c>
      <c r="J22" s="61">
        <v>9.6029073022107614</v>
      </c>
      <c r="K22" s="61">
        <v>10.35084016261804</v>
      </c>
      <c r="L22" s="61">
        <v>10.781245698238916</v>
      </c>
      <c r="M22" s="61">
        <v>9.2532601613332481</v>
      </c>
      <c r="N22" s="62">
        <v>26.062018776326777</v>
      </c>
      <c r="O22" s="140">
        <v>4.3756228409573543</v>
      </c>
      <c r="P22" s="141">
        <v>2.372529214800509</v>
      </c>
      <c r="Q22" s="141">
        <v>2.9709217019739227</v>
      </c>
      <c r="R22" s="142">
        <v>67.897115678368351</v>
      </c>
      <c r="S22" s="140">
        <v>5.3418014120601338</v>
      </c>
      <c r="T22" s="141">
        <v>2.962153259667768</v>
      </c>
      <c r="U22" s="141">
        <v>3.7509662990841313</v>
      </c>
      <c r="V22" s="142">
        <v>70.219126652960355</v>
      </c>
      <c r="W22" s="140">
        <v>5.6863228248759263</v>
      </c>
      <c r="X22" s="141">
        <v>3.1559334982897953</v>
      </c>
      <c r="Y22" s="141">
        <v>4.0288737560102375</v>
      </c>
      <c r="Z22" s="142">
        <v>70.852005418776869</v>
      </c>
      <c r="AA22" s="140">
        <v>5.8565805488139704</v>
      </c>
      <c r="AB22" s="141">
        <v>3.4226396940299164</v>
      </c>
      <c r="AC22" s="141">
        <v>4.3532690778029028</v>
      </c>
      <c r="AD22" s="142">
        <v>74.331242292646252</v>
      </c>
      <c r="AE22" s="140">
        <v>5.9708959939983206</v>
      </c>
      <c r="AF22" s="141">
        <v>3.951067706570349</v>
      </c>
      <c r="AG22" s="141">
        <v>5.0676464790288467</v>
      </c>
      <c r="AH22" s="142">
        <v>84.872462761411683</v>
      </c>
      <c r="AI22" s="199">
        <v>5.6266643341098854</v>
      </c>
      <c r="AJ22" s="200">
        <v>4.0285299089239235</v>
      </c>
      <c r="AK22" s="200">
        <v>5.231408738580237</v>
      </c>
      <c r="AL22" s="201">
        <v>92.975312333214276</v>
      </c>
      <c r="AM22" s="199">
        <v>5.2855464970654662</v>
      </c>
      <c r="AN22" s="200">
        <v>2.6296774941514571</v>
      </c>
      <c r="AO22" s="200">
        <v>3.3683494571148063</v>
      </c>
      <c r="AP22" s="201">
        <v>63.727553224343268</v>
      </c>
      <c r="AQ22" s="199">
        <v>5.5446996002524562</v>
      </c>
      <c r="AR22" s="200">
        <v>3.2649066872965706</v>
      </c>
      <c r="AS22" s="200">
        <v>4.1534806499419981</v>
      </c>
      <c r="AT22" s="201">
        <v>74.909029332317402</v>
      </c>
      <c r="AU22" s="199">
        <v>5.657556799348491</v>
      </c>
      <c r="AV22" s="200">
        <v>2.1796247102357134</v>
      </c>
      <c r="AW22" s="200">
        <v>2.7408342466955933</v>
      </c>
      <c r="AX22" s="201">
        <v>48.445545381200951</v>
      </c>
      <c r="AY22" s="199">
        <v>5.7823338514552258</v>
      </c>
      <c r="AZ22" s="200">
        <v>3.6143686476940058</v>
      </c>
      <c r="BA22" s="200">
        <v>4.6057533106241122</v>
      </c>
      <c r="BB22" s="201">
        <v>79.652151344824091</v>
      </c>
      <c r="BC22" s="199">
        <v>5.5322316053633882</v>
      </c>
      <c r="BD22" s="200">
        <v>2.5731284025799184</v>
      </c>
      <c r="BE22" s="200">
        <v>3.228964870189778</v>
      </c>
      <c r="BF22" s="201">
        <v>58.366407998164085</v>
      </c>
      <c r="BG22" s="199">
        <v>5.5704868321238079</v>
      </c>
      <c r="BH22" s="200">
        <v>4.4483921417377754</v>
      </c>
      <c r="BI22" s="200">
        <v>5.6249825514764966</v>
      </c>
      <c r="BJ22" s="201">
        <v>100.97829365717953</v>
      </c>
      <c r="BK22" s="199">
        <v>5.3096622159890536</v>
      </c>
      <c r="BL22" s="200">
        <v>2.6484096319988089</v>
      </c>
      <c r="BM22" s="200">
        <v>3.3556607147233701</v>
      </c>
      <c r="BN22" s="201">
        <v>63.199137312698085</v>
      </c>
      <c r="BO22" s="143">
        <v>45.88707366007452</v>
      </c>
      <c r="BP22" s="144">
        <v>6.7741473201490408</v>
      </c>
      <c r="BQ22" s="144">
        <v>6.0776726855832619</v>
      </c>
      <c r="BR22" s="144">
        <v>7.3918028088277437</v>
      </c>
      <c r="BS22" s="144">
        <v>6.9575809687589567</v>
      </c>
      <c r="BT22" s="145">
        <v>26.911722556606477</v>
      </c>
      <c r="BU22" s="143">
        <v>19.32760440223127</v>
      </c>
      <c r="BV22" s="144">
        <v>12.75943514749485</v>
      </c>
      <c r="BW22" s="144">
        <v>16.69430624654505</v>
      </c>
      <c r="BX22" s="144">
        <v>15.146489773355446</v>
      </c>
      <c r="BY22" s="144">
        <v>11.055831951354339</v>
      </c>
      <c r="BZ22" s="145">
        <v>25.016332479019049</v>
      </c>
      <c r="CA22" s="143">
        <v>8.1788079470198678</v>
      </c>
      <c r="CB22" s="144">
        <v>17.301324503311257</v>
      </c>
      <c r="CC22" s="144">
        <v>18.816225165562912</v>
      </c>
      <c r="CD22" s="144">
        <v>17.433774834437084</v>
      </c>
      <c r="CE22" s="144">
        <v>14.577814569536423</v>
      </c>
      <c r="CF22" s="145">
        <v>23.692052980132448</v>
      </c>
      <c r="CG22" s="143">
        <v>2.7020327218641547</v>
      </c>
      <c r="CH22" s="144">
        <v>16.410510659395143</v>
      </c>
      <c r="CI22" s="144">
        <v>21.417947446703025</v>
      </c>
      <c r="CJ22" s="144">
        <v>19.062964799206743</v>
      </c>
      <c r="CK22" s="144">
        <v>15.691621219633117</v>
      </c>
      <c r="CL22" s="145">
        <v>24.71492315319782</v>
      </c>
      <c r="CM22" s="143">
        <v>0.97668557025834912</v>
      </c>
      <c r="CN22" s="144">
        <v>14.05166981726528</v>
      </c>
      <c r="CO22" s="144">
        <v>18.24196597353497</v>
      </c>
      <c r="CP22" s="144">
        <v>22.085696282293636</v>
      </c>
      <c r="CQ22" s="144">
        <v>19.974795211090107</v>
      </c>
      <c r="CR22" s="145">
        <v>24.669187145557654</v>
      </c>
      <c r="CS22" s="304">
        <v>21.469617963179736</v>
      </c>
      <c r="CT22" s="305">
        <v>7.3480898158986907</v>
      </c>
      <c r="CU22" s="305">
        <v>9.3859742471001386</v>
      </c>
      <c r="CV22" s="305">
        <v>12.152814728104715</v>
      </c>
      <c r="CW22" s="305">
        <v>12.147493881025859</v>
      </c>
      <c r="CX22" s="306">
        <v>37.496009364690856</v>
      </c>
      <c r="CY22" s="304">
        <v>38.658649398704902</v>
      </c>
      <c r="CZ22" s="305">
        <v>8.8621646623496773</v>
      </c>
      <c r="DA22" s="305">
        <v>8.4088806660499529</v>
      </c>
      <c r="DB22" s="305">
        <v>9.5744680851063837</v>
      </c>
      <c r="DC22" s="305">
        <v>8.4273820536540249</v>
      </c>
      <c r="DD22" s="306">
        <v>26.068455134135061</v>
      </c>
      <c r="DE22" s="304">
        <v>34.93098510009446</v>
      </c>
      <c r="DF22" s="305">
        <v>9.6438038940857425</v>
      </c>
      <c r="DG22" s="305">
        <v>10.576190621286448</v>
      </c>
      <c r="DH22" s="305">
        <v>11.222157896340534</v>
      </c>
      <c r="DI22" s="305">
        <v>9.1014351442761825</v>
      </c>
      <c r="DJ22" s="306">
        <v>24.525427343916633</v>
      </c>
      <c r="DK22" s="304">
        <v>52.005701486458968</v>
      </c>
      <c r="DL22" s="305">
        <v>14.090816534310733</v>
      </c>
      <c r="DM22" s="305">
        <v>12.197108531867237</v>
      </c>
      <c r="DN22" s="305">
        <v>8.0838933007534113</v>
      </c>
      <c r="DO22" s="305">
        <v>4.6630014253716148</v>
      </c>
      <c r="DP22" s="306">
        <v>8.9594787212380371</v>
      </c>
      <c r="DQ22" s="304">
        <v>38.278624967691911</v>
      </c>
      <c r="DR22" s="305">
        <v>9.9250452313259245</v>
      </c>
      <c r="DS22" s="305">
        <v>12.58723184285345</v>
      </c>
      <c r="DT22" s="305">
        <v>11.243215301111398</v>
      </c>
      <c r="DU22" s="305">
        <v>8.839493409149652</v>
      </c>
      <c r="DV22" s="306">
        <v>19.126389247867667</v>
      </c>
      <c r="DW22" s="304">
        <v>43.082321808663636</v>
      </c>
      <c r="DX22" s="305">
        <v>11.614796065121096</v>
      </c>
      <c r="DY22" s="305">
        <v>11.223609273428062</v>
      </c>
      <c r="DZ22" s="305">
        <v>9.4805269516193995</v>
      </c>
      <c r="EA22" s="305">
        <v>7.4383017891042975</v>
      </c>
      <c r="EB22" s="306">
        <v>17.160444112063512</v>
      </c>
      <c r="EC22" s="304">
        <v>22.218356412219052</v>
      </c>
      <c r="ED22" s="305">
        <v>9.3730429336858947</v>
      </c>
      <c r="EE22" s="305">
        <v>10.876069862918378</v>
      </c>
      <c r="EF22" s="305">
        <v>12.239927632036739</v>
      </c>
      <c r="EG22" s="305">
        <v>11.293577343260733</v>
      </c>
      <c r="EH22" s="306">
        <v>33.9990258158792</v>
      </c>
      <c r="EI22" s="304">
        <v>44.662270540010695</v>
      </c>
      <c r="EJ22" s="305">
        <v>8.7863126002495093</v>
      </c>
      <c r="EK22" s="305">
        <v>9.0180003564427018</v>
      </c>
      <c r="EL22" s="305">
        <v>8.3407592229549099</v>
      </c>
      <c r="EM22" s="305">
        <v>6.790233469969702</v>
      </c>
      <c r="EN22" s="306">
        <v>22.402423810372483</v>
      </c>
    </row>
    <row r="23" spans="1:144" x14ac:dyDescent="0.2">
      <c r="E23" s="16"/>
      <c r="F23" s="18"/>
      <c r="G23" s="17"/>
      <c r="H23" s="17"/>
      <c r="I23" s="17"/>
      <c r="J23" s="17"/>
      <c r="K23" s="17"/>
      <c r="L23" s="17"/>
      <c r="M23" s="17"/>
      <c r="N23" s="17"/>
    </row>
    <row r="24" spans="1:144" x14ac:dyDescent="0.2">
      <c r="B24" s="13"/>
      <c r="E24" s="15"/>
      <c r="F24" s="15"/>
    </row>
    <row r="25" spans="1:144" s="31" customFormat="1" x14ac:dyDescent="0.2">
      <c r="A25" s="28"/>
      <c r="B25" s="29"/>
      <c r="C25" s="29"/>
      <c r="D25" s="29"/>
      <c r="E25" s="29"/>
      <c r="F25" s="29"/>
      <c r="G25" s="29"/>
      <c r="H25" s="29"/>
      <c r="I25" s="29"/>
      <c r="J25" s="29"/>
      <c r="K25" s="29"/>
      <c r="L25" s="29"/>
      <c r="M25" s="29"/>
      <c r="N25" s="29"/>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row>
    <row r="26" spans="1:144" s="31" customFormat="1" ht="12" thickBot="1" x14ac:dyDescent="0.25">
      <c r="A26" s="28"/>
      <c r="B26" s="29"/>
      <c r="C26" s="29"/>
      <c r="D26" s="29"/>
      <c r="E26" s="29"/>
      <c r="F26" s="29"/>
      <c r="G26" s="29"/>
      <c r="H26" s="29"/>
      <c r="I26" s="29"/>
      <c r="J26" s="29"/>
      <c r="K26" s="29"/>
      <c r="L26" s="29"/>
      <c r="M26" s="29"/>
      <c r="N26" s="29"/>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row>
    <row r="27" spans="1:144" s="13" customFormat="1" ht="25.5" customHeight="1" thickBot="1" x14ac:dyDescent="0.25">
      <c r="A27" s="59"/>
      <c r="B27" s="59"/>
      <c r="C27" s="59"/>
      <c r="D27" s="59"/>
      <c r="E27" s="59"/>
      <c r="F27" s="59"/>
      <c r="G27" s="59"/>
      <c r="H27" s="59"/>
      <c r="I27" s="59"/>
      <c r="J27" s="59"/>
      <c r="K27" s="59"/>
      <c r="L27" s="59"/>
      <c r="M27" s="59"/>
      <c r="N27" s="59"/>
      <c r="O27" s="408" t="s">
        <v>85</v>
      </c>
      <c r="P27" s="409"/>
      <c r="Q27" s="409"/>
      <c r="R27" s="409"/>
      <c r="S27" s="409"/>
      <c r="T27" s="409"/>
      <c r="U27" s="409"/>
      <c r="V27" s="409"/>
      <c r="W27" s="409"/>
      <c r="X27" s="409"/>
      <c r="Y27" s="409"/>
      <c r="Z27" s="409"/>
      <c r="AA27" s="409"/>
      <c r="AB27" s="409"/>
      <c r="AC27" s="409"/>
      <c r="AD27" s="409"/>
      <c r="AE27" s="409"/>
      <c r="AF27" s="409"/>
      <c r="AG27" s="409"/>
      <c r="AH27" s="410"/>
      <c r="AI27" s="408" t="s">
        <v>86</v>
      </c>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10"/>
      <c r="BO27" s="408" t="s">
        <v>87</v>
      </c>
      <c r="BP27" s="409"/>
      <c r="BQ27" s="409"/>
      <c r="BR27" s="409"/>
      <c r="BS27" s="409"/>
      <c r="BT27" s="409"/>
      <c r="BU27" s="409"/>
      <c r="BV27" s="409"/>
      <c r="BW27" s="409"/>
      <c r="BX27" s="409"/>
      <c r="BY27" s="409"/>
      <c r="BZ27" s="409"/>
      <c r="CA27" s="409"/>
      <c r="CB27" s="409"/>
      <c r="CC27" s="409"/>
      <c r="CD27" s="409"/>
      <c r="CE27" s="409"/>
      <c r="CF27" s="409"/>
      <c r="CG27" s="409"/>
      <c r="CH27" s="409"/>
      <c r="CI27" s="409"/>
      <c r="CJ27" s="409"/>
      <c r="CK27" s="409"/>
      <c r="CL27" s="409"/>
      <c r="CM27" s="409"/>
      <c r="CN27" s="409"/>
      <c r="CO27" s="409"/>
      <c r="CP27" s="409"/>
      <c r="CQ27" s="409"/>
      <c r="CR27" s="410"/>
      <c r="CS27" s="408" t="s">
        <v>88</v>
      </c>
      <c r="CT27" s="409"/>
      <c r="CU27" s="409"/>
      <c r="CV27" s="409"/>
      <c r="CW27" s="409"/>
      <c r="CX27" s="409"/>
      <c r="CY27" s="409"/>
      <c r="CZ27" s="409"/>
      <c r="DA27" s="409"/>
      <c r="DB27" s="409"/>
      <c r="DC27" s="409"/>
      <c r="DD27" s="409"/>
      <c r="DE27" s="409"/>
      <c r="DF27" s="409"/>
      <c r="DG27" s="409"/>
      <c r="DH27" s="409"/>
      <c r="DI27" s="409"/>
      <c r="DJ27" s="409"/>
      <c r="DK27" s="409"/>
      <c r="DL27" s="409"/>
      <c r="DM27" s="409"/>
      <c r="DN27" s="409"/>
      <c r="DO27" s="409"/>
      <c r="DP27" s="409"/>
      <c r="DQ27" s="409"/>
      <c r="DR27" s="409"/>
      <c r="DS27" s="409"/>
      <c r="DT27" s="409"/>
      <c r="DU27" s="409"/>
      <c r="DV27" s="409"/>
      <c r="DW27" s="409"/>
      <c r="DX27" s="409"/>
      <c r="DY27" s="409"/>
      <c r="DZ27" s="409"/>
      <c r="EA27" s="409"/>
      <c r="EB27" s="409"/>
      <c r="EC27" s="409"/>
      <c r="ED27" s="409"/>
      <c r="EE27" s="409"/>
      <c r="EF27" s="409"/>
      <c r="EG27" s="409"/>
      <c r="EH27" s="409"/>
      <c r="EI27" s="409"/>
      <c r="EJ27" s="409"/>
      <c r="EK27" s="409"/>
      <c r="EL27" s="409"/>
      <c r="EM27" s="409"/>
      <c r="EN27" s="410"/>
    </row>
    <row r="28" spans="1:144" s="27" customFormat="1" ht="70.5" customHeight="1" thickBot="1" x14ac:dyDescent="0.25">
      <c r="A28" s="342" t="s">
        <v>131</v>
      </c>
      <c r="B28" s="419" t="s">
        <v>34</v>
      </c>
      <c r="C28" s="419"/>
      <c r="D28" s="419"/>
      <c r="E28" s="419"/>
      <c r="F28" s="419"/>
      <c r="G28" s="419"/>
      <c r="H28" s="419" t="s">
        <v>68</v>
      </c>
      <c r="I28" s="419"/>
      <c r="J28" s="419"/>
      <c r="K28" s="419"/>
      <c r="L28" s="419"/>
      <c r="M28" s="419"/>
      <c r="N28" s="419"/>
      <c r="O28" s="411" t="s">
        <v>79</v>
      </c>
      <c r="P28" s="411"/>
      <c r="Q28" s="411"/>
      <c r="R28" s="411"/>
      <c r="S28" s="411" t="s">
        <v>80</v>
      </c>
      <c r="T28" s="411"/>
      <c r="U28" s="411"/>
      <c r="V28" s="411"/>
      <c r="W28" s="411" t="s">
        <v>81</v>
      </c>
      <c r="X28" s="411"/>
      <c r="Y28" s="411"/>
      <c r="Z28" s="411"/>
      <c r="AA28" s="411" t="s">
        <v>82</v>
      </c>
      <c r="AB28" s="411"/>
      <c r="AC28" s="411"/>
      <c r="AD28" s="411"/>
      <c r="AE28" s="411" t="s">
        <v>7</v>
      </c>
      <c r="AF28" s="411"/>
      <c r="AG28" s="411"/>
      <c r="AH28" s="411"/>
      <c r="AI28" s="404" t="s">
        <v>36</v>
      </c>
      <c r="AJ28" s="404"/>
      <c r="AK28" s="404"/>
      <c r="AL28" s="404"/>
      <c r="AM28" s="404" t="s">
        <v>4</v>
      </c>
      <c r="AN28" s="404"/>
      <c r="AO28" s="404"/>
      <c r="AP28" s="404"/>
      <c r="AQ28" s="404" t="s">
        <v>44</v>
      </c>
      <c r="AR28" s="404"/>
      <c r="AS28" s="404"/>
      <c r="AT28" s="404"/>
      <c r="AU28" s="404" t="s">
        <v>5</v>
      </c>
      <c r="AV28" s="404"/>
      <c r="AW28" s="404"/>
      <c r="AX28" s="404"/>
      <c r="AY28" s="404" t="s">
        <v>37</v>
      </c>
      <c r="AZ28" s="404"/>
      <c r="BA28" s="404"/>
      <c r="BB28" s="404"/>
      <c r="BC28" s="404" t="s">
        <v>38</v>
      </c>
      <c r="BD28" s="404"/>
      <c r="BE28" s="404"/>
      <c r="BF28" s="404"/>
      <c r="BG28" s="404" t="s">
        <v>6</v>
      </c>
      <c r="BH28" s="404"/>
      <c r="BI28" s="404"/>
      <c r="BJ28" s="404"/>
      <c r="BK28" s="404" t="s">
        <v>16</v>
      </c>
      <c r="BL28" s="404"/>
      <c r="BM28" s="404"/>
      <c r="BN28" s="404"/>
      <c r="BO28" s="411" t="s">
        <v>79</v>
      </c>
      <c r="BP28" s="411"/>
      <c r="BQ28" s="411"/>
      <c r="BR28" s="411"/>
      <c r="BS28" s="411"/>
      <c r="BT28" s="411"/>
      <c r="BU28" s="411" t="s">
        <v>80</v>
      </c>
      <c r="BV28" s="411"/>
      <c r="BW28" s="411"/>
      <c r="BX28" s="411"/>
      <c r="BY28" s="411"/>
      <c r="BZ28" s="411"/>
      <c r="CA28" s="411" t="s">
        <v>81</v>
      </c>
      <c r="CB28" s="411"/>
      <c r="CC28" s="411"/>
      <c r="CD28" s="411"/>
      <c r="CE28" s="411"/>
      <c r="CF28" s="411"/>
      <c r="CG28" s="411" t="s">
        <v>82</v>
      </c>
      <c r="CH28" s="411"/>
      <c r="CI28" s="411"/>
      <c r="CJ28" s="411"/>
      <c r="CK28" s="411"/>
      <c r="CL28" s="411"/>
      <c r="CM28" s="411" t="s">
        <v>7</v>
      </c>
      <c r="CN28" s="411"/>
      <c r="CO28" s="411"/>
      <c r="CP28" s="411"/>
      <c r="CQ28" s="411"/>
      <c r="CR28" s="411"/>
      <c r="CS28" s="404" t="s">
        <v>36</v>
      </c>
      <c r="CT28" s="404"/>
      <c r="CU28" s="404"/>
      <c r="CV28" s="404"/>
      <c r="CW28" s="404"/>
      <c r="CX28" s="404"/>
      <c r="CY28" s="404" t="s">
        <v>4</v>
      </c>
      <c r="CZ28" s="404"/>
      <c r="DA28" s="404"/>
      <c r="DB28" s="404"/>
      <c r="DC28" s="404"/>
      <c r="DD28" s="404"/>
      <c r="DE28" s="404" t="s">
        <v>44</v>
      </c>
      <c r="DF28" s="404"/>
      <c r="DG28" s="404"/>
      <c r="DH28" s="404"/>
      <c r="DI28" s="404"/>
      <c r="DJ28" s="404"/>
      <c r="DK28" s="404" t="s">
        <v>5</v>
      </c>
      <c r="DL28" s="404"/>
      <c r="DM28" s="404"/>
      <c r="DN28" s="404"/>
      <c r="DO28" s="404"/>
      <c r="DP28" s="404"/>
      <c r="DQ28" s="404" t="s">
        <v>37</v>
      </c>
      <c r="DR28" s="404"/>
      <c r="DS28" s="404"/>
      <c r="DT28" s="404"/>
      <c r="DU28" s="404"/>
      <c r="DV28" s="404"/>
      <c r="DW28" s="404" t="s">
        <v>38</v>
      </c>
      <c r="DX28" s="404"/>
      <c r="DY28" s="404"/>
      <c r="DZ28" s="404"/>
      <c r="EA28" s="404"/>
      <c r="EB28" s="404"/>
      <c r="EC28" s="404" t="s">
        <v>6</v>
      </c>
      <c r="ED28" s="404"/>
      <c r="EE28" s="404"/>
      <c r="EF28" s="404"/>
      <c r="EG28" s="404"/>
      <c r="EH28" s="404"/>
      <c r="EI28" s="404" t="s">
        <v>16</v>
      </c>
      <c r="EJ28" s="404"/>
      <c r="EK28" s="404"/>
      <c r="EL28" s="404"/>
      <c r="EM28" s="404"/>
      <c r="EN28" s="404"/>
    </row>
    <row r="29" spans="1:144" s="34" customFormat="1" ht="102.75" customHeight="1" x14ac:dyDescent="0.2">
      <c r="A29" s="79" t="s">
        <v>30</v>
      </c>
      <c r="B29" s="77" t="s">
        <v>105</v>
      </c>
      <c r="C29" s="78" t="s">
        <v>106</v>
      </c>
      <c r="D29" s="78" t="s">
        <v>107</v>
      </c>
      <c r="E29" s="78" t="s">
        <v>108</v>
      </c>
      <c r="F29" s="78" t="s">
        <v>58</v>
      </c>
      <c r="G29" s="88" t="s">
        <v>59</v>
      </c>
      <c r="H29" s="89" t="s">
        <v>69</v>
      </c>
      <c r="I29" s="89" t="s">
        <v>70</v>
      </c>
      <c r="J29" s="89" t="s">
        <v>71</v>
      </c>
      <c r="K29" s="89" t="s">
        <v>72</v>
      </c>
      <c r="L29" s="89" t="s">
        <v>73</v>
      </c>
      <c r="M29" s="89" t="s">
        <v>74</v>
      </c>
      <c r="N29" s="90" t="s">
        <v>75</v>
      </c>
      <c r="O29" s="215" t="s">
        <v>76</v>
      </c>
      <c r="P29" s="215" t="s">
        <v>77</v>
      </c>
      <c r="Q29" s="215" t="s">
        <v>78</v>
      </c>
      <c r="R29" s="216" t="s">
        <v>83</v>
      </c>
      <c r="S29" s="215" t="s">
        <v>76</v>
      </c>
      <c r="T29" s="215" t="s">
        <v>77</v>
      </c>
      <c r="U29" s="215" t="s">
        <v>78</v>
      </c>
      <c r="V29" s="216" t="s">
        <v>83</v>
      </c>
      <c r="W29" s="215" t="s">
        <v>76</v>
      </c>
      <c r="X29" s="215" t="s">
        <v>77</v>
      </c>
      <c r="Y29" s="215" t="s">
        <v>78</v>
      </c>
      <c r="Z29" s="216" t="s">
        <v>83</v>
      </c>
      <c r="AA29" s="215" t="s">
        <v>76</v>
      </c>
      <c r="AB29" s="215" t="s">
        <v>77</v>
      </c>
      <c r="AC29" s="215" t="s">
        <v>78</v>
      </c>
      <c r="AD29" s="216" t="s">
        <v>83</v>
      </c>
      <c r="AE29" s="215" t="s">
        <v>76</v>
      </c>
      <c r="AF29" s="215" t="s">
        <v>77</v>
      </c>
      <c r="AG29" s="215" t="s">
        <v>78</v>
      </c>
      <c r="AH29" s="216" t="s">
        <v>83</v>
      </c>
      <c r="AI29" s="89" t="s">
        <v>76</v>
      </c>
      <c r="AJ29" s="89" t="s">
        <v>77</v>
      </c>
      <c r="AK29" s="89" t="s">
        <v>78</v>
      </c>
      <c r="AL29" s="193" t="s">
        <v>83</v>
      </c>
      <c r="AM29" s="89" t="s">
        <v>76</v>
      </c>
      <c r="AN29" s="89" t="s">
        <v>77</v>
      </c>
      <c r="AO29" s="89" t="s">
        <v>78</v>
      </c>
      <c r="AP29" s="193" t="s">
        <v>83</v>
      </c>
      <c r="AQ29" s="89" t="s">
        <v>76</v>
      </c>
      <c r="AR29" s="89" t="s">
        <v>77</v>
      </c>
      <c r="AS29" s="89" t="s">
        <v>78</v>
      </c>
      <c r="AT29" s="193" t="s">
        <v>83</v>
      </c>
      <c r="AU29" s="89" t="s">
        <v>76</v>
      </c>
      <c r="AV29" s="89" t="s">
        <v>77</v>
      </c>
      <c r="AW29" s="89" t="s">
        <v>78</v>
      </c>
      <c r="AX29" s="193" t="s">
        <v>83</v>
      </c>
      <c r="AY29" s="89" t="s">
        <v>76</v>
      </c>
      <c r="AZ29" s="89" t="s">
        <v>77</v>
      </c>
      <c r="BA29" s="89" t="s">
        <v>78</v>
      </c>
      <c r="BB29" s="193" t="s">
        <v>83</v>
      </c>
      <c r="BC29" s="89" t="s">
        <v>76</v>
      </c>
      <c r="BD29" s="89" t="s">
        <v>77</v>
      </c>
      <c r="BE29" s="89" t="s">
        <v>78</v>
      </c>
      <c r="BF29" s="193" t="s">
        <v>83</v>
      </c>
      <c r="BG29" s="89" t="s">
        <v>76</v>
      </c>
      <c r="BH29" s="89" t="s">
        <v>77</v>
      </c>
      <c r="BI29" s="89" t="s">
        <v>78</v>
      </c>
      <c r="BJ29" s="193" t="s">
        <v>83</v>
      </c>
      <c r="BK29" s="89" t="s">
        <v>76</v>
      </c>
      <c r="BL29" s="89" t="s">
        <v>77</v>
      </c>
      <c r="BM29" s="89" t="s">
        <v>78</v>
      </c>
      <c r="BN29" s="193" t="s">
        <v>83</v>
      </c>
      <c r="BO29" s="77" t="s">
        <v>70</v>
      </c>
      <c r="BP29" s="215" t="s">
        <v>71</v>
      </c>
      <c r="BQ29" s="215" t="s">
        <v>72</v>
      </c>
      <c r="BR29" s="215" t="s">
        <v>73</v>
      </c>
      <c r="BS29" s="215" t="s">
        <v>74</v>
      </c>
      <c r="BT29" s="216" t="s">
        <v>75</v>
      </c>
      <c r="BU29" s="77" t="s">
        <v>70</v>
      </c>
      <c r="BV29" s="215" t="s">
        <v>71</v>
      </c>
      <c r="BW29" s="215" t="s">
        <v>72</v>
      </c>
      <c r="BX29" s="215" t="s">
        <v>73</v>
      </c>
      <c r="BY29" s="215" t="s">
        <v>74</v>
      </c>
      <c r="BZ29" s="216" t="s">
        <v>75</v>
      </c>
      <c r="CA29" s="77" t="s">
        <v>70</v>
      </c>
      <c r="CB29" s="215" t="s">
        <v>71</v>
      </c>
      <c r="CC29" s="215" t="s">
        <v>72</v>
      </c>
      <c r="CD29" s="215" t="s">
        <v>73</v>
      </c>
      <c r="CE29" s="215" t="s">
        <v>74</v>
      </c>
      <c r="CF29" s="216" t="s">
        <v>75</v>
      </c>
      <c r="CG29" s="77" t="s">
        <v>70</v>
      </c>
      <c r="CH29" s="215" t="s">
        <v>71</v>
      </c>
      <c r="CI29" s="215" t="s">
        <v>72</v>
      </c>
      <c r="CJ29" s="215" t="s">
        <v>73</v>
      </c>
      <c r="CK29" s="215" t="s">
        <v>74</v>
      </c>
      <c r="CL29" s="216" t="s">
        <v>75</v>
      </c>
      <c r="CM29" s="77" t="s">
        <v>70</v>
      </c>
      <c r="CN29" s="215" t="s">
        <v>71</v>
      </c>
      <c r="CO29" s="215" t="s">
        <v>72</v>
      </c>
      <c r="CP29" s="215" t="s">
        <v>73</v>
      </c>
      <c r="CQ29" s="215" t="s">
        <v>74</v>
      </c>
      <c r="CR29" s="216" t="s">
        <v>75</v>
      </c>
      <c r="CS29" s="194" t="s">
        <v>70</v>
      </c>
      <c r="CT29" s="89" t="s">
        <v>71</v>
      </c>
      <c r="CU29" s="89" t="s">
        <v>72</v>
      </c>
      <c r="CV29" s="89" t="s">
        <v>73</v>
      </c>
      <c r="CW29" s="89" t="s">
        <v>74</v>
      </c>
      <c r="CX29" s="193" t="s">
        <v>75</v>
      </c>
      <c r="CY29" s="194" t="s">
        <v>70</v>
      </c>
      <c r="CZ29" s="89" t="s">
        <v>71</v>
      </c>
      <c r="DA29" s="89" t="s">
        <v>72</v>
      </c>
      <c r="DB29" s="89" t="s">
        <v>73</v>
      </c>
      <c r="DC29" s="89" t="s">
        <v>74</v>
      </c>
      <c r="DD29" s="193" t="s">
        <v>75</v>
      </c>
      <c r="DE29" s="194" t="s">
        <v>70</v>
      </c>
      <c r="DF29" s="89" t="s">
        <v>71</v>
      </c>
      <c r="DG29" s="89" t="s">
        <v>72</v>
      </c>
      <c r="DH29" s="89" t="s">
        <v>73</v>
      </c>
      <c r="DI29" s="89" t="s">
        <v>74</v>
      </c>
      <c r="DJ29" s="193" t="s">
        <v>75</v>
      </c>
      <c r="DK29" s="194" t="s">
        <v>70</v>
      </c>
      <c r="DL29" s="89" t="s">
        <v>71</v>
      </c>
      <c r="DM29" s="89" t="s">
        <v>72</v>
      </c>
      <c r="DN29" s="89" t="s">
        <v>73</v>
      </c>
      <c r="DO29" s="89" t="s">
        <v>74</v>
      </c>
      <c r="DP29" s="193" t="s">
        <v>75</v>
      </c>
      <c r="DQ29" s="194" t="s">
        <v>70</v>
      </c>
      <c r="DR29" s="89" t="s">
        <v>71</v>
      </c>
      <c r="DS29" s="89" t="s">
        <v>72</v>
      </c>
      <c r="DT29" s="89" t="s">
        <v>73</v>
      </c>
      <c r="DU29" s="89" t="s">
        <v>74</v>
      </c>
      <c r="DV29" s="193" t="s">
        <v>75</v>
      </c>
      <c r="DW29" s="194" t="s">
        <v>70</v>
      </c>
      <c r="DX29" s="89" t="s">
        <v>71</v>
      </c>
      <c r="DY29" s="89" t="s">
        <v>72</v>
      </c>
      <c r="DZ29" s="89" t="s">
        <v>73</v>
      </c>
      <c r="EA29" s="89" t="s">
        <v>74</v>
      </c>
      <c r="EB29" s="193" t="s">
        <v>75</v>
      </c>
      <c r="EC29" s="194" t="s">
        <v>70</v>
      </c>
      <c r="ED29" s="89" t="s">
        <v>71</v>
      </c>
      <c r="EE29" s="89" t="s">
        <v>72</v>
      </c>
      <c r="EF29" s="89" t="s">
        <v>73</v>
      </c>
      <c r="EG29" s="89" t="s">
        <v>74</v>
      </c>
      <c r="EH29" s="193" t="s">
        <v>75</v>
      </c>
      <c r="EI29" s="194" t="s">
        <v>70</v>
      </c>
      <c r="EJ29" s="89" t="s">
        <v>71</v>
      </c>
      <c r="EK29" s="89" t="s">
        <v>72</v>
      </c>
      <c r="EL29" s="89" t="s">
        <v>73</v>
      </c>
      <c r="EM29" s="89" t="s">
        <v>74</v>
      </c>
      <c r="EN29" s="193" t="s">
        <v>75</v>
      </c>
    </row>
    <row r="30" spans="1:144" ht="12" customHeight="1" x14ac:dyDescent="0.2">
      <c r="A30" s="80" t="s">
        <v>17</v>
      </c>
      <c r="B30" s="53">
        <v>502</v>
      </c>
      <c r="C30" s="54">
        <v>28117.533932064962</v>
      </c>
      <c r="D30" s="55">
        <v>1454</v>
      </c>
      <c r="E30" s="94">
        <v>694</v>
      </c>
      <c r="F30" s="94">
        <v>514.4102014620006</v>
      </c>
      <c r="G30" s="125">
        <v>657.05497402547871</v>
      </c>
      <c r="H30" s="102">
        <v>45.189475517570749</v>
      </c>
      <c r="I30" s="102">
        <v>53.984063745019917</v>
      </c>
      <c r="J30" s="102">
        <v>8.5657370517928282</v>
      </c>
      <c r="K30" s="102">
        <v>7.7689243027888448</v>
      </c>
      <c r="L30" s="102">
        <v>8.7649402390438258</v>
      </c>
      <c r="M30" s="102">
        <v>6.9721115537848597</v>
      </c>
      <c r="N30" s="102">
        <v>13.944223107569719</v>
      </c>
      <c r="O30" s="174">
        <v>4.4386658089920292</v>
      </c>
      <c r="P30" s="175">
        <v>1.2848525905473382</v>
      </c>
      <c r="Q30" s="176">
        <v>1.6145810678915362</v>
      </c>
      <c r="R30" s="177">
        <v>36.375369026896607</v>
      </c>
      <c r="S30" s="174">
        <v>5.3780224091481292</v>
      </c>
      <c r="T30" s="175">
        <v>1.5231082612236979</v>
      </c>
      <c r="U30" s="176">
        <v>1.9796705679985525</v>
      </c>
      <c r="V30" s="177">
        <v>36.810381537851001</v>
      </c>
      <c r="W30" s="174">
        <v>5.6752741583269009</v>
      </c>
      <c r="X30" s="175">
        <v>2.3688254898470849</v>
      </c>
      <c r="Y30" s="176">
        <v>2.9517387269885136</v>
      </c>
      <c r="Z30" s="177">
        <v>52.01050459663962</v>
      </c>
      <c r="AA30" s="174">
        <v>5.901156361695616</v>
      </c>
      <c r="AB30" s="175">
        <v>2.3433876660893729</v>
      </c>
      <c r="AC30" s="176">
        <v>3.1050141039153747</v>
      </c>
      <c r="AD30" s="177">
        <v>52.617045094246443</v>
      </c>
      <c r="AE30" s="174">
        <v>5.9550324592530197</v>
      </c>
      <c r="AF30" s="175">
        <v>3.9269541633506737</v>
      </c>
      <c r="AG30" s="176">
        <v>5.2727290936510203</v>
      </c>
      <c r="AH30" s="177">
        <v>88.542407278707174</v>
      </c>
      <c r="AI30" s="174">
        <v>4.9118486606164273</v>
      </c>
      <c r="AJ30" s="175">
        <v>1.5064617507479898</v>
      </c>
      <c r="AK30" s="176">
        <v>1.9850832789145765</v>
      </c>
      <c r="AL30" s="177">
        <v>40.4141783689535</v>
      </c>
      <c r="AM30" s="174">
        <v>5.1075132398642902</v>
      </c>
      <c r="AN30" s="175">
        <v>0.76723328494858734</v>
      </c>
      <c r="AO30" s="176">
        <v>1.0204262489760478</v>
      </c>
      <c r="AP30" s="177">
        <v>19.978925184404638</v>
      </c>
      <c r="AQ30" s="174">
        <v>5.0730117430638693</v>
      </c>
      <c r="AR30" s="175">
        <v>1.6623973504814822</v>
      </c>
      <c r="AS30" s="176">
        <v>2.0759811370772034</v>
      </c>
      <c r="AT30" s="177">
        <v>40.92206448990801</v>
      </c>
      <c r="AU30" s="174">
        <v>5.2244691454769088</v>
      </c>
      <c r="AV30" s="175">
        <v>0.81367390906373771</v>
      </c>
      <c r="AW30" s="176">
        <v>0.99341987070738469</v>
      </c>
      <c r="AX30" s="177">
        <v>19.014752370916753</v>
      </c>
      <c r="AY30" s="174">
        <v>5.5551113856534169</v>
      </c>
      <c r="AZ30" s="175">
        <v>3.5542485904292986</v>
      </c>
      <c r="BA30" s="176">
        <v>4.8518244563693571</v>
      </c>
      <c r="BB30" s="177">
        <v>87.339823084369428</v>
      </c>
      <c r="BC30" s="174">
        <v>5.0868833200163524</v>
      </c>
      <c r="BD30" s="175">
        <v>2.418608108709035</v>
      </c>
      <c r="BE30" s="176">
        <v>2.9925146989424594</v>
      </c>
      <c r="BF30" s="177">
        <v>58.828058571094552</v>
      </c>
      <c r="BG30" s="174">
        <v>5.4354269588419006</v>
      </c>
      <c r="BH30" s="175">
        <v>1.8876847877138268</v>
      </c>
      <c r="BI30" s="176">
        <v>2.4917784282073145</v>
      </c>
      <c r="BJ30" s="177">
        <v>45.843287879232683</v>
      </c>
      <c r="BK30" s="174">
        <v>4.998178373310445</v>
      </c>
      <c r="BL30" s="175">
        <v>2.0909906914222907</v>
      </c>
      <c r="BM30" s="176">
        <v>2.4455631291499209</v>
      </c>
      <c r="BN30" s="177">
        <v>48.929088689768996</v>
      </c>
      <c r="BO30" s="187">
        <v>63.73626373626373</v>
      </c>
      <c r="BP30" s="188">
        <v>3.8461538461538463</v>
      </c>
      <c r="BQ30" s="188">
        <v>4.395604395604396</v>
      </c>
      <c r="BR30" s="188">
        <v>6.593406593406594</v>
      </c>
      <c r="BS30" s="188">
        <v>6.593406593406594</v>
      </c>
      <c r="BT30" s="177">
        <v>14.835164835164836</v>
      </c>
      <c r="BU30" s="187">
        <v>35.802469135802468</v>
      </c>
      <c r="BV30" s="188">
        <v>17.283950617283949</v>
      </c>
      <c r="BW30" s="188">
        <v>13.580246913580247</v>
      </c>
      <c r="BX30" s="188">
        <v>14.814814814814813</v>
      </c>
      <c r="BY30" s="188">
        <v>8.6419753086419746</v>
      </c>
      <c r="BZ30" s="177">
        <v>9.8765432098765427</v>
      </c>
      <c r="CA30" s="187">
        <v>21.739130434782609</v>
      </c>
      <c r="CB30" s="188">
        <v>26.086956521739129</v>
      </c>
      <c r="CC30" s="188">
        <v>21.739130434782609</v>
      </c>
      <c r="CD30" s="188">
        <v>10.869565217391305</v>
      </c>
      <c r="CE30" s="188">
        <v>6.5217391304347823</v>
      </c>
      <c r="CF30" s="177">
        <v>13.043478260869565</v>
      </c>
      <c r="CG30" s="187">
        <v>0</v>
      </c>
      <c r="CH30" s="188">
        <v>30</v>
      </c>
      <c r="CI30" s="188">
        <v>20</v>
      </c>
      <c r="CJ30" s="188">
        <v>30</v>
      </c>
      <c r="CK30" s="188">
        <v>0</v>
      </c>
      <c r="CL30" s="177">
        <v>20</v>
      </c>
      <c r="CM30" s="187">
        <v>0</v>
      </c>
      <c r="CN30" s="188">
        <v>0</v>
      </c>
      <c r="CO30" s="188">
        <v>0</v>
      </c>
      <c r="CP30" s="188">
        <v>0</v>
      </c>
      <c r="CQ30" s="188">
        <v>100</v>
      </c>
      <c r="CR30" s="177">
        <v>0</v>
      </c>
      <c r="CS30" s="187">
        <v>58.108108108108105</v>
      </c>
      <c r="CT30" s="188">
        <v>5.4054054054054053</v>
      </c>
      <c r="CU30" s="188">
        <v>6.756756756756757</v>
      </c>
      <c r="CV30" s="188">
        <v>5.4054054054054053</v>
      </c>
      <c r="CW30" s="188">
        <v>9.4594594594594597</v>
      </c>
      <c r="CX30" s="177">
        <v>14.864864864864865</v>
      </c>
      <c r="CY30" s="187">
        <v>65.306122448979593</v>
      </c>
      <c r="CZ30" s="188">
        <v>8.1632653061224492</v>
      </c>
      <c r="DA30" s="188">
        <v>8.1632653061224492</v>
      </c>
      <c r="DB30" s="188">
        <v>6.1224489795918364</v>
      </c>
      <c r="DC30" s="188">
        <v>6.1224489795918364</v>
      </c>
      <c r="DD30" s="177">
        <v>6.1224489795918364</v>
      </c>
      <c r="DE30" s="187">
        <v>51.351351351351347</v>
      </c>
      <c r="DF30" s="188">
        <v>8.1081081081081088</v>
      </c>
      <c r="DG30" s="188">
        <v>7.4324324324324325</v>
      </c>
      <c r="DH30" s="188">
        <v>12.162162162162163</v>
      </c>
      <c r="DI30" s="188">
        <v>5.4054054054054053</v>
      </c>
      <c r="DJ30" s="177">
        <v>15.54054054054054</v>
      </c>
      <c r="DK30" s="187">
        <v>63.636363636363633</v>
      </c>
      <c r="DL30" s="188">
        <v>18.181818181818183</v>
      </c>
      <c r="DM30" s="188">
        <v>0</v>
      </c>
      <c r="DN30" s="188">
        <v>0</v>
      </c>
      <c r="DO30" s="188">
        <v>9.0909090909090917</v>
      </c>
      <c r="DP30" s="177">
        <v>9.0909090909090917</v>
      </c>
      <c r="DQ30" s="187">
        <v>45.454545454545453</v>
      </c>
      <c r="DR30" s="188">
        <v>9.0909090909090917</v>
      </c>
      <c r="DS30" s="188">
        <v>9.0909090909090917</v>
      </c>
      <c r="DT30" s="188">
        <v>9.0909090909090917</v>
      </c>
      <c r="DU30" s="188">
        <v>0</v>
      </c>
      <c r="DV30" s="177">
        <v>27.27272727272727</v>
      </c>
      <c r="DW30" s="187">
        <v>56.578947368421048</v>
      </c>
      <c r="DX30" s="188">
        <v>10.526315789473683</v>
      </c>
      <c r="DY30" s="188">
        <v>2.6315789473684208</v>
      </c>
      <c r="DZ30" s="188">
        <v>5.2631578947368416</v>
      </c>
      <c r="EA30" s="188">
        <v>9.2105263157894726</v>
      </c>
      <c r="EB30" s="177">
        <v>15.789473684210526</v>
      </c>
      <c r="EC30" s="187">
        <v>46.666666666666664</v>
      </c>
      <c r="ED30" s="188">
        <v>12.222222222222221</v>
      </c>
      <c r="EE30" s="188">
        <v>12.222222222222221</v>
      </c>
      <c r="EF30" s="188">
        <v>12.222222222222221</v>
      </c>
      <c r="EG30" s="188">
        <v>5.5555555555555554</v>
      </c>
      <c r="EH30" s="177">
        <v>11.111111111111111</v>
      </c>
      <c r="EI30" s="187">
        <v>53.658536585365859</v>
      </c>
      <c r="EJ30" s="188">
        <v>2.4390243902439024</v>
      </c>
      <c r="EK30" s="188">
        <v>9.7560975609756095</v>
      </c>
      <c r="EL30" s="188">
        <v>7.3170731707317067</v>
      </c>
      <c r="EM30" s="188">
        <v>9.7560975609756095</v>
      </c>
      <c r="EN30" s="206">
        <v>17.073170731707318</v>
      </c>
    </row>
    <row r="31" spans="1:144" ht="12" customHeight="1" x14ac:dyDescent="0.2">
      <c r="A31" s="81" t="s">
        <v>18</v>
      </c>
      <c r="B31" s="56">
        <v>638</v>
      </c>
      <c r="C31" s="54">
        <v>39291.510172176524</v>
      </c>
      <c r="D31" s="54">
        <v>2041</v>
      </c>
      <c r="E31" s="94">
        <v>995</v>
      </c>
      <c r="F31" s="94">
        <v>706.89045903089766</v>
      </c>
      <c r="G31" s="126">
        <v>908.59757209486781</v>
      </c>
      <c r="H31" s="103">
        <v>44.517274477945506</v>
      </c>
      <c r="I31" s="103">
        <v>46.708463949843257</v>
      </c>
      <c r="J31" s="103">
        <v>9.4043887147335425</v>
      </c>
      <c r="K31" s="103">
        <v>10.658307210031348</v>
      </c>
      <c r="L31" s="103">
        <v>8.9341692789968654</v>
      </c>
      <c r="M31" s="103">
        <v>8.307210031347962</v>
      </c>
      <c r="N31" s="103">
        <v>15.987460815047022</v>
      </c>
      <c r="O31" s="178">
        <v>4.4226648541011491</v>
      </c>
      <c r="P31" s="179">
        <v>1.5866141714487316</v>
      </c>
      <c r="Q31" s="180">
        <v>1.9938321791867168</v>
      </c>
      <c r="R31" s="181">
        <v>45.08214492757304</v>
      </c>
      <c r="S31" s="178">
        <v>5.281719370491575</v>
      </c>
      <c r="T31" s="179">
        <v>2.0480876146381837</v>
      </c>
      <c r="U31" s="180">
        <v>2.7446009333909545</v>
      </c>
      <c r="V31" s="181">
        <v>51.964156761617417</v>
      </c>
      <c r="W31" s="178">
        <v>5.682121056026519</v>
      </c>
      <c r="X31" s="179">
        <v>2.1466395074533464</v>
      </c>
      <c r="Y31" s="180">
        <v>2.8071341306306161</v>
      </c>
      <c r="Z31" s="181">
        <v>49.402927233543167</v>
      </c>
      <c r="AA31" s="178">
        <v>5.8347531309190606</v>
      </c>
      <c r="AB31" s="179">
        <v>1.9496940791849913</v>
      </c>
      <c r="AC31" s="180">
        <v>2.5050082752353666</v>
      </c>
      <c r="AD31" s="181">
        <v>42.932549484587888</v>
      </c>
      <c r="AE31" s="178">
        <v>5.9667418420001264</v>
      </c>
      <c r="AF31" s="179">
        <v>1.352580180222783</v>
      </c>
      <c r="AG31" s="180">
        <v>1.6072088374261562</v>
      </c>
      <c r="AH31" s="181">
        <v>26.936121588384321</v>
      </c>
      <c r="AI31" s="178">
        <v>5.1970333391280832</v>
      </c>
      <c r="AJ31" s="179">
        <v>1.9033761164734351</v>
      </c>
      <c r="AK31" s="180">
        <v>2.4550726305687403</v>
      </c>
      <c r="AL31" s="181">
        <v>47.239886111268106</v>
      </c>
      <c r="AM31" s="178">
        <v>5.3312113029797032</v>
      </c>
      <c r="AN31" s="179">
        <v>1.1992138822093572</v>
      </c>
      <c r="AO31" s="180">
        <v>1.519577664129109</v>
      </c>
      <c r="AP31" s="181">
        <v>28.503422163735877</v>
      </c>
      <c r="AQ31" s="178">
        <v>5.2538425143682312</v>
      </c>
      <c r="AR31" s="179">
        <v>2.020286580180839</v>
      </c>
      <c r="AS31" s="180">
        <v>2.6341734043393115</v>
      </c>
      <c r="AT31" s="181">
        <v>50.138035107359279</v>
      </c>
      <c r="AU31" s="178">
        <v>5.2384774316505363</v>
      </c>
      <c r="AV31" s="179">
        <v>1.131967445012789</v>
      </c>
      <c r="AW31" s="180">
        <v>1.199127412085232</v>
      </c>
      <c r="AX31" s="181">
        <v>22.890762205830704</v>
      </c>
      <c r="AY31" s="178">
        <v>5.5440379279440188</v>
      </c>
      <c r="AZ31" s="179">
        <v>1.5844769860439714</v>
      </c>
      <c r="BA31" s="180">
        <v>2.07230026639987</v>
      </c>
      <c r="BB31" s="181">
        <v>37.378897715592885</v>
      </c>
      <c r="BC31" s="178">
        <v>5.0990352129822742</v>
      </c>
      <c r="BD31" s="179">
        <v>1.9077244122298505</v>
      </c>
      <c r="BE31" s="180">
        <v>2.3989209744427114</v>
      </c>
      <c r="BF31" s="181">
        <v>47.046566149121645</v>
      </c>
      <c r="BG31" s="178">
        <v>5.2804197847561527</v>
      </c>
      <c r="BH31" s="179">
        <v>1.860539889233606</v>
      </c>
      <c r="BI31" s="180">
        <v>2.3806212673063061</v>
      </c>
      <c r="BJ31" s="181">
        <v>45.083939617430282</v>
      </c>
      <c r="BK31" s="178">
        <v>4.7301716070078674</v>
      </c>
      <c r="BL31" s="179">
        <v>1.7438118320018385</v>
      </c>
      <c r="BM31" s="180">
        <v>2.2615965376001479</v>
      </c>
      <c r="BN31" s="181">
        <v>47.812145636524818</v>
      </c>
      <c r="BO31" s="189">
        <v>56.919642857142861</v>
      </c>
      <c r="BP31" s="190">
        <v>6.4732142857142865</v>
      </c>
      <c r="BQ31" s="190">
        <v>5.5803571428571432</v>
      </c>
      <c r="BR31" s="190">
        <v>7.3660714285714288</v>
      </c>
      <c r="BS31" s="190">
        <v>6.9196428571428577</v>
      </c>
      <c r="BT31" s="181">
        <v>16.741071428571427</v>
      </c>
      <c r="BU31" s="189">
        <v>30.894308943089431</v>
      </c>
      <c r="BV31" s="190">
        <v>9.7560975609756095</v>
      </c>
      <c r="BW31" s="190">
        <v>18.699186991869919</v>
      </c>
      <c r="BX31" s="190">
        <v>13.008130081300814</v>
      </c>
      <c r="BY31" s="190">
        <v>10.569105691056912</v>
      </c>
      <c r="BZ31" s="181">
        <v>17.073170731707318</v>
      </c>
      <c r="CA31" s="189">
        <v>10.416666666666668</v>
      </c>
      <c r="CB31" s="190">
        <v>22.916666666666664</v>
      </c>
      <c r="CC31" s="190">
        <v>27.083333333333332</v>
      </c>
      <c r="CD31" s="190">
        <v>12.5</v>
      </c>
      <c r="CE31" s="190">
        <v>16.666666666666664</v>
      </c>
      <c r="CF31" s="181">
        <v>10.416666666666668</v>
      </c>
      <c r="CG31" s="189">
        <v>0</v>
      </c>
      <c r="CH31" s="190">
        <v>30.76923076923077</v>
      </c>
      <c r="CI31" s="190">
        <v>46.153846153846153</v>
      </c>
      <c r="CJ31" s="190">
        <v>7.6923076923076925</v>
      </c>
      <c r="CK31" s="190">
        <v>7.6923076923076925</v>
      </c>
      <c r="CL31" s="181">
        <v>7.6923076923076925</v>
      </c>
      <c r="CM31" s="189">
        <v>0</v>
      </c>
      <c r="CN31" s="190">
        <v>66.666666666666657</v>
      </c>
      <c r="CO31" s="190">
        <v>16.666666666666664</v>
      </c>
      <c r="CP31" s="190">
        <v>16.666666666666664</v>
      </c>
      <c r="CQ31" s="190">
        <v>0</v>
      </c>
      <c r="CR31" s="181">
        <v>0</v>
      </c>
      <c r="CS31" s="189">
        <v>42.105263157894733</v>
      </c>
      <c r="CT31" s="190">
        <v>9.2105263157894726</v>
      </c>
      <c r="CU31" s="190">
        <v>10.526315789473683</v>
      </c>
      <c r="CV31" s="190">
        <v>11.842105263157894</v>
      </c>
      <c r="CW31" s="190">
        <v>9.2105263157894726</v>
      </c>
      <c r="CX31" s="181">
        <v>17.105263157894736</v>
      </c>
      <c r="CY31" s="189">
        <v>59.016393442622949</v>
      </c>
      <c r="CZ31" s="190">
        <v>13.114754098360656</v>
      </c>
      <c r="DA31" s="190">
        <v>8.1967213114754092</v>
      </c>
      <c r="DB31" s="190">
        <v>3.278688524590164</v>
      </c>
      <c r="DC31" s="190">
        <v>1.639344262295082</v>
      </c>
      <c r="DD31" s="181">
        <v>14.754098360655737</v>
      </c>
      <c r="DE31" s="189">
        <v>40.449438202247187</v>
      </c>
      <c r="DF31" s="190">
        <v>12.359550561797752</v>
      </c>
      <c r="DG31" s="190">
        <v>8.9887640449438209</v>
      </c>
      <c r="DH31" s="190">
        <v>8.9887640449438209</v>
      </c>
      <c r="DI31" s="190">
        <v>11.797752808988763</v>
      </c>
      <c r="DJ31" s="181">
        <v>17.415730337078653</v>
      </c>
      <c r="DK31" s="189">
        <v>62.5</v>
      </c>
      <c r="DL31" s="190">
        <v>0</v>
      </c>
      <c r="DM31" s="190">
        <v>25</v>
      </c>
      <c r="DN31" s="190">
        <v>12.5</v>
      </c>
      <c r="DO31" s="190">
        <v>0</v>
      </c>
      <c r="DP31" s="181">
        <v>0</v>
      </c>
      <c r="DQ31" s="189">
        <v>40.909090909090914</v>
      </c>
      <c r="DR31" s="190">
        <v>9.0909090909090917</v>
      </c>
      <c r="DS31" s="190">
        <v>27.27272727272727</v>
      </c>
      <c r="DT31" s="190">
        <v>13.636363636363635</v>
      </c>
      <c r="DU31" s="190">
        <v>9.0909090909090917</v>
      </c>
      <c r="DV31" s="181">
        <v>0</v>
      </c>
      <c r="DW31" s="189">
        <v>47.872340425531917</v>
      </c>
      <c r="DX31" s="190">
        <v>7.4468085106382977</v>
      </c>
      <c r="DY31" s="190">
        <v>13.829787234042554</v>
      </c>
      <c r="DZ31" s="190">
        <v>7.4468085106382977</v>
      </c>
      <c r="EA31" s="190">
        <v>8.5106382978723403</v>
      </c>
      <c r="EB31" s="181">
        <v>14.893617021276595</v>
      </c>
      <c r="EC31" s="189">
        <v>50.561797752808992</v>
      </c>
      <c r="ED31" s="190">
        <v>12.359550561797752</v>
      </c>
      <c r="EE31" s="190">
        <v>11.235955056179774</v>
      </c>
      <c r="EF31" s="190">
        <v>4.4943820224719104</v>
      </c>
      <c r="EG31" s="190">
        <v>6.7415730337078648</v>
      </c>
      <c r="EH31" s="181">
        <v>14.606741573033707</v>
      </c>
      <c r="EI31" s="189">
        <v>48.623853211009177</v>
      </c>
      <c r="EJ31" s="190">
        <v>2.7522935779816518</v>
      </c>
      <c r="EK31" s="190">
        <v>7.3394495412844041</v>
      </c>
      <c r="EL31" s="190">
        <v>13.761467889908257</v>
      </c>
      <c r="EM31" s="190">
        <v>7.3394495412844041</v>
      </c>
      <c r="EN31" s="207">
        <v>20.183486238532112</v>
      </c>
    </row>
    <row r="32" spans="1:144" ht="12" customHeight="1" x14ac:dyDescent="0.2">
      <c r="A32" s="81" t="s">
        <v>19</v>
      </c>
      <c r="B32" s="56">
        <v>246</v>
      </c>
      <c r="C32" s="54">
        <v>13582.302885432164</v>
      </c>
      <c r="D32" s="54">
        <v>699</v>
      </c>
      <c r="E32" s="94">
        <v>297</v>
      </c>
      <c r="F32" s="94">
        <v>213.25518613946204</v>
      </c>
      <c r="G32" s="126">
        <v>261.65702613490038</v>
      </c>
      <c r="H32" s="103">
        <v>37.433050949198908</v>
      </c>
      <c r="I32" s="103">
        <v>49.59349593495935</v>
      </c>
      <c r="J32" s="103">
        <v>9.7560975609756095</v>
      </c>
      <c r="K32" s="103">
        <v>10.569105691056912</v>
      </c>
      <c r="L32" s="103">
        <v>6.9105691056910574</v>
      </c>
      <c r="M32" s="103">
        <v>5.6910569105691051</v>
      </c>
      <c r="N32" s="103">
        <v>17.479674796747968</v>
      </c>
      <c r="O32" s="178">
        <v>4.3790884684197176</v>
      </c>
      <c r="P32" s="179">
        <v>1.465573180099869</v>
      </c>
      <c r="Q32" s="180">
        <v>1.8003152829829197</v>
      </c>
      <c r="R32" s="181">
        <v>41.111644488712514</v>
      </c>
      <c r="S32" s="178">
        <v>5.5204969721986705</v>
      </c>
      <c r="T32" s="179">
        <v>1.0117880632473324</v>
      </c>
      <c r="U32" s="180">
        <v>1.2317761433017824</v>
      </c>
      <c r="V32" s="181">
        <v>22.312776358813906</v>
      </c>
      <c r="W32" s="178">
        <v>5.6821610151270523</v>
      </c>
      <c r="X32" s="179">
        <v>2.1180188448049355</v>
      </c>
      <c r="Y32" s="180">
        <v>2.560449089892332</v>
      </c>
      <c r="Z32" s="181">
        <v>45.061185050474677</v>
      </c>
      <c r="AA32" s="178">
        <v>5.8641817176068995</v>
      </c>
      <c r="AB32" s="179">
        <v>1.5071505550476796</v>
      </c>
      <c r="AC32" s="180">
        <v>1.9004598093635665</v>
      </c>
      <c r="AD32" s="181">
        <v>32.407928350131705</v>
      </c>
      <c r="AE32" s="178">
        <v>5.8358567807376751</v>
      </c>
      <c r="AF32" s="179">
        <v>1.2320395880743253</v>
      </c>
      <c r="AG32" s="180">
        <v>1.6427194507657676</v>
      </c>
      <c r="AH32" s="181">
        <v>28.148727984344426</v>
      </c>
      <c r="AI32" s="178">
        <v>4.9589290877341412</v>
      </c>
      <c r="AJ32" s="179">
        <v>1.3650350953886112</v>
      </c>
      <c r="AK32" s="180">
        <v>1.7006816128478208</v>
      </c>
      <c r="AL32" s="181">
        <v>34.295340440629388</v>
      </c>
      <c r="AM32" s="178">
        <v>5.1548369257577811</v>
      </c>
      <c r="AN32" s="179">
        <v>1.209780773870949</v>
      </c>
      <c r="AO32" s="180">
        <v>1.6438872904976789</v>
      </c>
      <c r="AP32" s="181">
        <v>31.890190013256742</v>
      </c>
      <c r="AQ32" s="178">
        <v>4.9820681159746725</v>
      </c>
      <c r="AR32" s="179">
        <v>1.5377902334633125</v>
      </c>
      <c r="AS32" s="180">
        <v>1.8375219668423493</v>
      </c>
      <c r="AT32" s="181">
        <v>36.882714649172627</v>
      </c>
      <c r="AU32" s="178">
        <v>4.9342465524980925</v>
      </c>
      <c r="AV32" s="179">
        <v>4.3259147857517517</v>
      </c>
      <c r="AW32" s="180">
        <v>4.3259147857517517</v>
      </c>
      <c r="AX32" s="181">
        <v>87.671232876712324</v>
      </c>
      <c r="AY32" s="178">
        <v>5.5060792936450467</v>
      </c>
      <c r="AZ32" s="179">
        <v>2.495675176688112</v>
      </c>
      <c r="BA32" s="180">
        <v>3.1577061552516676</v>
      </c>
      <c r="BB32" s="181">
        <v>57.349449342224304</v>
      </c>
      <c r="BC32" s="178">
        <v>5.1881254318114758</v>
      </c>
      <c r="BD32" s="179">
        <v>0.97559781696918491</v>
      </c>
      <c r="BE32" s="180">
        <v>1.231439427199601</v>
      </c>
      <c r="BF32" s="181">
        <v>23.735729665457104</v>
      </c>
      <c r="BG32" s="178">
        <v>5.3259183188673713</v>
      </c>
      <c r="BH32" s="179">
        <v>2.3060159228453601</v>
      </c>
      <c r="BI32" s="180">
        <v>2.7405046575232133</v>
      </c>
      <c r="BJ32" s="181">
        <v>51.456002391452714</v>
      </c>
      <c r="BK32" s="178">
        <v>5.2037765843664294</v>
      </c>
      <c r="BL32" s="179">
        <v>1.4877748611607633</v>
      </c>
      <c r="BM32" s="180">
        <v>1.7620479167136394</v>
      </c>
      <c r="BN32" s="181">
        <v>33.860944799346576</v>
      </c>
      <c r="BO32" s="189">
        <v>57.692307692307686</v>
      </c>
      <c r="BP32" s="190">
        <v>3.8461538461538463</v>
      </c>
      <c r="BQ32" s="190">
        <v>6.593406593406594</v>
      </c>
      <c r="BR32" s="190">
        <v>4.9450549450549453</v>
      </c>
      <c r="BS32" s="190">
        <v>6.0439560439560438</v>
      </c>
      <c r="BT32" s="181">
        <v>20.87912087912088</v>
      </c>
      <c r="BU32" s="189">
        <v>36.363636363636367</v>
      </c>
      <c r="BV32" s="190">
        <v>24.242424242424242</v>
      </c>
      <c r="BW32" s="190">
        <v>18.181818181818183</v>
      </c>
      <c r="BX32" s="190">
        <v>15.151515151515152</v>
      </c>
      <c r="BY32" s="190">
        <v>6.0606060606060606</v>
      </c>
      <c r="BZ32" s="181">
        <v>0</v>
      </c>
      <c r="CA32" s="189">
        <v>19.230769230769234</v>
      </c>
      <c r="CB32" s="190">
        <v>23.076923076923077</v>
      </c>
      <c r="CC32" s="190">
        <v>26.923076923076923</v>
      </c>
      <c r="CD32" s="190">
        <v>11.538461538461538</v>
      </c>
      <c r="CE32" s="190">
        <v>0</v>
      </c>
      <c r="CF32" s="181">
        <v>19.230769230769234</v>
      </c>
      <c r="CG32" s="189">
        <v>0</v>
      </c>
      <c r="CH32" s="190">
        <v>75</v>
      </c>
      <c r="CI32" s="190">
        <v>0</v>
      </c>
      <c r="CJ32" s="190">
        <v>0</v>
      </c>
      <c r="CK32" s="190">
        <v>25</v>
      </c>
      <c r="CL32" s="181">
        <v>0</v>
      </c>
      <c r="CM32" s="189">
        <v>0</v>
      </c>
      <c r="CN32" s="190">
        <v>0</v>
      </c>
      <c r="CO32" s="190">
        <v>100</v>
      </c>
      <c r="CP32" s="190">
        <v>0</v>
      </c>
      <c r="CQ32" s="190">
        <v>0</v>
      </c>
      <c r="CR32" s="181">
        <v>0</v>
      </c>
      <c r="CS32" s="189">
        <v>61.53846153846154</v>
      </c>
      <c r="CT32" s="190">
        <v>5.1282051282051277</v>
      </c>
      <c r="CU32" s="190">
        <v>7.6923076923076925</v>
      </c>
      <c r="CV32" s="190">
        <v>7.6923076923076925</v>
      </c>
      <c r="CW32" s="190">
        <v>2.5641025641025639</v>
      </c>
      <c r="CX32" s="181">
        <v>15.384615384615385</v>
      </c>
      <c r="CY32" s="189">
        <v>51.428571428571423</v>
      </c>
      <c r="CZ32" s="190">
        <v>5.7142857142857144</v>
      </c>
      <c r="DA32" s="190">
        <v>11.428571428571429</v>
      </c>
      <c r="DB32" s="190">
        <v>11.428571428571429</v>
      </c>
      <c r="DC32" s="190">
        <v>5.7142857142857144</v>
      </c>
      <c r="DD32" s="181">
        <v>14.285714285714285</v>
      </c>
      <c r="DE32" s="189">
        <v>45.714285714285715</v>
      </c>
      <c r="DF32" s="190">
        <v>12.857142857142856</v>
      </c>
      <c r="DG32" s="190">
        <v>14.285714285714285</v>
      </c>
      <c r="DH32" s="190">
        <v>4.2857142857142856</v>
      </c>
      <c r="DI32" s="190">
        <v>2.8571428571428572</v>
      </c>
      <c r="DJ32" s="181">
        <v>20</v>
      </c>
      <c r="DK32" s="189">
        <v>0</v>
      </c>
      <c r="DL32" s="190">
        <v>0</v>
      </c>
      <c r="DM32" s="190">
        <v>0</v>
      </c>
      <c r="DN32" s="190">
        <v>0</v>
      </c>
      <c r="DO32" s="190">
        <v>100</v>
      </c>
      <c r="DP32" s="181">
        <v>0</v>
      </c>
      <c r="DQ32" s="189">
        <v>25</v>
      </c>
      <c r="DR32" s="190">
        <v>0</v>
      </c>
      <c r="DS32" s="190">
        <v>0</v>
      </c>
      <c r="DT32" s="190">
        <v>50</v>
      </c>
      <c r="DU32" s="190">
        <v>0</v>
      </c>
      <c r="DV32" s="181">
        <v>25</v>
      </c>
      <c r="DW32" s="189">
        <v>53.658536585365859</v>
      </c>
      <c r="DX32" s="190">
        <v>14.634146341463413</v>
      </c>
      <c r="DY32" s="190">
        <v>9.7560975609756095</v>
      </c>
      <c r="DZ32" s="190">
        <v>4.8780487804878048</v>
      </c>
      <c r="EA32" s="190">
        <v>4.8780487804878048</v>
      </c>
      <c r="EB32" s="181">
        <v>12.195121951219512</v>
      </c>
      <c r="EC32" s="189">
        <v>39.534883720930232</v>
      </c>
      <c r="ED32" s="190">
        <v>11.627906976744185</v>
      </c>
      <c r="EE32" s="190">
        <v>9.3023255813953494</v>
      </c>
      <c r="EF32" s="190">
        <v>4.6511627906976747</v>
      </c>
      <c r="EG32" s="190">
        <v>11.627906976744185</v>
      </c>
      <c r="EH32" s="181">
        <v>23.255813953488371</v>
      </c>
      <c r="EI32" s="189">
        <v>61.53846153846154</v>
      </c>
      <c r="EJ32" s="190">
        <v>0</v>
      </c>
      <c r="EK32" s="190">
        <v>7.6923076923076925</v>
      </c>
      <c r="EL32" s="190">
        <v>7.6923076923076925</v>
      </c>
      <c r="EM32" s="190">
        <v>7.6923076923076925</v>
      </c>
      <c r="EN32" s="207">
        <v>15.384615384615385</v>
      </c>
    </row>
    <row r="33" spans="1:144" ht="12" customHeight="1" x14ac:dyDescent="0.2">
      <c r="A33" s="81" t="s">
        <v>20</v>
      </c>
      <c r="B33" s="56">
        <v>1109</v>
      </c>
      <c r="C33" s="54">
        <v>75422.5769356581</v>
      </c>
      <c r="D33" s="54">
        <v>3991</v>
      </c>
      <c r="E33" s="94">
        <v>2614</v>
      </c>
      <c r="F33" s="94">
        <v>1828.6135360833425</v>
      </c>
      <c r="G33" s="126">
        <v>2291.8342603746191</v>
      </c>
      <c r="H33" s="103">
        <v>57.425062900892485</v>
      </c>
      <c r="I33" s="103">
        <v>43.823264201983768</v>
      </c>
      <c r="J33" s="103">
        <v>8.9269612263300271</v>
      </c>
      <c r="K33" s="103">
        <v>11.09107303877367</v>
      </c>
      <c r="L33" s="103">
        <v>10.550045085662759</v>
      </c>
      <c r="M33" s="103">
        <v>7.5743913435527501</v>
      </c>
      <c r="N33" s="103">
        <v>18.034265103697024</v>
      </c>
      <c r="O33" s="178">
        <v>4.3946485739341075</v>
      </c>
      <c r="P33" s="179">
        <v>2.0070465014404482</v>
      </c>
      <c r="Q33" s="180">
        <v>2.4903707057068147</v>
      </c>
      <c r="R33" s="181">
        <v>56.668256034803356</v>
      </c>
      <c r="S33" s="178">
        <v>5.3412712355911536</v>
      </c>
      <c r="T33" s="179">
        <v>2.0876185718819724</v>
      </c>
      <c r="U33" s="180">
        <v>2.5880447305596648</v>
      </c>
      <c r="V33" s="181">
        <v>48.453722277094371</v>
      </c>
      <c r="W33" s="178">
        <v>5.7028450086411455</v>
      </c>
      <c r="X33" s="179">
        <v>2.387259013959798</v>
      </c>
      <c r="Y33" s="180">
        <v>3.0172231642425524</v>
      </c>
      <c r="Z33" s="181">
        <v>52.907332387093689</v>
      </c>
      <c r="AA33" s="178">
        <v>5.8485143315482837</v>
      </c>
      <c r="AB33" s="179">
        <v>2.6007371793691885</v>
      </c>
      <c r="AC33" s="180">
        <v>3.297055603970934</v>
      </c>
      <c r="AD33" s="181">
        <v>56.37424168024738</v>
      </c>
      <c r="AE33" s="178">
        <v>5.9363368989939476</v>
      </c>
      <c r="AF33" s="179">
        <v>3.509899914401053</v>
      </c>
      <c r="AG33" s="180">
        <v>4.4155615743685983</v>
      </c>
      <c r="AH33" s="181">
        <v>74.381923558228621</v>
      </c>
      <c r="AI33" s="178">
        <v>5.0597187366070884</v>
      </c>
      <c r="AJ33" s="179">
        <v>2.4733228333835342</v>
      </c>
      <c r="AK33" s="180">
        <v>3.1206243153284534</v>
      </c>
      <c r="AL33" s="181">
        <v>61.675845590995451</v>
      </c>
      <c r="AM33" s="178">
        <v>5.0826646341021631</v>
      </c>
      <c r="AN33" s="179">
        <v>1.6080554656980279</v>
      </c>
      <c r="AO33" s="180">
        <v>2.0812693244512301</v>
      </c>
      <c r="AP33" s="181">
        <v>40.948389757745247</v>
      </c>
      <c r="AQ33" s="178">
        <v>5.2046040558596154</v>
      </c>
      <c r="AR33" s="179">
        <v>2.0495442290317913</v>
      </c>
      <c r="AS33" s="180">
        <v>2.5131218969603903</v>
      </c>
      <c r="AT33" s="181">
        <v>48.286514593381725</v>
      </c>
      <c r="AU33" s="178">
        <v>5.1395482569819615</v>
      </c>
      <c r="AV33" s="179">
        <v>1.7792383769189273</v>
      </c>
      <c r="AW33" s="180">
        <v>2.0832147024906296</v>
      </c>
      <c r="AX33" s="181">
        <v>40.533031276837001</v>
      </c>
      <c r="AY33" s="178">
        <v>5.6116888927326087</v>
      </c>
      <c r="AZ33" s="179">
        <v>3.1643262499208067</v>
      </c>
      <c r="BA33" s="180">
        <v>4.0167757101973187</v>
      </c>
      <c r="BB33" s="181">
        <v>71.57873123364385</v>
      </c>
      <c r="BC33" s="178">
        <v>5.1016011559306733</v>
      </c>
      <c r="BD33" s="179">
        <v>1.9277080946451648</v>
      </c>
      <c r="BE33" s="180">
        <v>2.3465281939123082</v>
      </c>
      <c r="BF33" s="181">
        <v>45.995916226897521</v>
      </c>
      <c r="BG33" s="178">
        <v>5.7129050652997542</v>
      </c>
      <c r="BH33" s="179">
        <v>2.9005435298120692</v>
      </c>
      <c r="BI33" s="180">
        <v>3.6847654634310576</v>
      </c>
      <c r="BJ33" s="181">
        <v>64.498979438891126</v>
      </c>
      <c r="BK33" s="178">
        <v>5.0768279180820182</v>
      </c>
      <c r="BL33" s="179">
        <v>5.564142485213381</v>
      </c>
      <c r="BM33" s="180">
        <v>7.1813505149490293</v>
      </c>
      <c r="BN33" s="181">
        <v>141.45349479684714</v>
      </c>
      <c r="BO33" s="189">
        <v>56.684491978609628</v>
      </c>
      <c r="BP33" s="190">
        <v>5.4812834224598923</v>
      </c>
      <c r="BQ33" s="190">
        <v>5.3475935828877006</v>
      </c>
      <c r="BR33" s="190">
        <v>7.3529411764705888</v>
      </c>
      <c r="BS33" s="190">
        <v>5.6149732620320858</v>
      </c>
      <c r="BT33" s="181">
        <v>19.518716577540108</v>
      </c>
      <c r="BU33" s="189">
        <v>25</v>
      </c>
      <c r="BV33" s="190">
        <v>14.000000000000002</v>
      </c>
      <c r="BW33" s="190">
        <v>20.5</v>
      </c>
      <c r="BX33" s="190">
        <v>15.5</v>
      </c>
      <c r="BY33" s="190">
        <v>9.5</v>
      </c>
      <c r="BZ33" s="181">
        <v>15.5</v>
      </c>
      <c r="CA33" s="189">
        <v>8.4033613445378155</v>
      </c>
      <c r="CB33" s="190">
        <v>21.84873949579832</v>
      </c>
      <c r="CC33" s="190">
        <v>25.210084033613445</v>
      </c>
      <c r="CD33" s="190">
        <v>19.327731092436977</v>
      </c>
      <c r="CE33" s="190">
        <v>11.76470588235294</v>
      </c>
      <c r="CF33" s="181">
        <v>13.445378151260504</v>
      </c>
      <c r="CG33" s="189">
        <v>3.7037037037037033</v>
      </c>
      <c r="CH33" s="190">
        <v>14.814814814814813</v>
      </c>
      <c r="CI33" s="190">
        <v>22.222222222222221</v>
      </c>
      <c r="CJ33" s="190">
        <v>25.925925925925924</v>
      </c>
      <c r="CK33" s="190">
        <v>29.629629629629626</v>
      </c>
      <c r="CL33" s="181">
        <v>3.7037037037037033</v>
      </c>
      <c r="CM33" s="189">
        <v>6.666666666666667</v>
      </c>
      <c r="CN33" s="190">
        <v>0</v>
      </c>
      <c r="CO33" s="190">
        <v>40</v>
      </c>
      <c r="CP33" s="190">
        <v>6.666666666666667</v>
      </c>
      <c r="CQ33" s="190">
        <v>6.666666666666667</v>
      </c>
      <c r="CR33" s="181">
        <v>40</v>
      </c>
      <c r="CS33" s="189">
        <v>40.588235294117645</v>
      </c>
      <c r="CT33" s="190">
        <v>8.8235294117647065</v>
      </c>
      <c r="CU33" s="190">
        <v>8.235294117647058</v>
      </c>
      <c r="CV33" s="190">
        <v>13.529411764705882</v>
      </c>
      <c r="CW33" s="190">
        <v>7.6470588235294121</v>
      </c>
      <c r="CX33" s="181">
        <v>21.176470588235293</v>
      </c>
      <c r="CY33" s="189">
        <v>59.848484848484851</v>
      </c>
      <c r="CZ33" s="190">
        <v>7.5757575757575761</v>
      </c>
      <c r="DA33" s="190">
        <v>5.3030303030303028</v>
      </c>
      <c r="DB33" s="190">
        <v>9.0909090909090917</v>
      </c>
      <c r="DC33" s="190">
        <v>4.5454545454545459</v>
      </c>
      <c r="DD33" s="181">
        <v>13.636363636363635</v>
      </c>
      <c r="DE33" s="189">
        <v>43.488943488943491</v>
      </c>
      <c r="DF33" s="190">
        <v>7.3710073710073711</v>
      </c>
      <c r="DG33" s="190">
        <v>14.987714987714988</v>
      </c>
      <c r="DH33" s="190">
        <v>10.810810810810811</v>
      </c>
      <c r="DI33" s="190">
        <v>5.8968058968058967</v>
      </c>
      <c r="DJ33" s="181">
        <v>17.444717444717444</v>
      </c>
      <c r="DK33" s="189">
        <v>59.090909090909093</v>
      </c>
      <c r="DL33" s="190">
        <v>9.0909090909090917</v>
      </c>
      <c r="DM33" s="190">
        <v>9.0909090909090917</v>
      </c>
      <c r="DN33" s="190">
        <v>9.0909090909090917</v>
      </c>
      <c r="DO33" s="190">
        <v>9.0909090909090917</v>
      </c>
      <c r="DP33" s="181">
        <v>4.5454545454545459</v>
      </c>
      <c r="DQ33" s="189">
        <v>40.625</v>
      </c>
      <c r="DR33" s="190">
        <v>6.25</v>
      </c>
      <c r="DS33" s="190">
        <v>6.25</v>
      </c>
      <c r="DT33" s="190">
        <v>12.5</v>
      </c>
      <c r="DU33" s="190">
        <v>12.5</v>
      </c>
      <c r="DV33" s="181">
        <v>21.875</v>
      </c>
      <c r="DW33" s="189">
        <v>45.856353591160222</v>
      </c>
      <c r="DX33" s="190">
        <v>9.94475138121547</v>
      </c>
      <c r="DY33" s="190">
        <v>9.3922651933701662</v>
      </c>
      <c r="DZ33" s="190">
        <v>8.8397790055248606</v>
      </c>
      <c r="EA33" s="190">
        <v>7.1823204419889501</v>
      </c>
      <c r="EB33" s="181">
        <v>18.784530386740332</v>
      </c>
      <c r="EC33" s="189">
        <v>28.695652173913043</v>
      </c>
      <c r="ED33" s="190">
        <v>17.391304347826086</v>
      </c>
      <c r="EE33" s="190">
        <v>11.304347826086957</v>
      </c>
      <c r="EF33" s="190">
        <v>10.434782608695652</v>
      </c>
      <c r="EG33" s="190">
        <v>12.173913043478262</v>
      </c>
      <c r="EH33" s="181">
        <v>20</v>
      </c>
      <c r="EI33" s="189">
        <v>38.297872340425535</v>
      </c>
      <c r="EJ33" s="190">
        <v>4.2553191489361701</v>
      </c>
      <c r="EK33" s="190">
        <v>12.76595744680851</v>
      </c>
      <c r="EL33" s="190">
        <v>8.5106382978723403</v>
      </c>
      <c r="EM33" s="190">
        <v>14.893617021276595</v>
      </c>
      <c r="EN33" s="207">
        <v>21.276595744680851</v>
      </c>
    </row>
    <row r="34" spans="1:144" ht="12" customHeight="1" x14ac:dyDescent="0.2">
      <c r="A34" s="81" t="s">
        <v>21</v>
      </c>
      <c r="B34" s="56">
        <v>27267</v>
      </c>
      <c r="C34" s="54">
        <v>4604222.8522878252</v>
      </c>
      <c r="D34" s="54">
        <v>262758</v>
      </c>
      <c r="E34" s="94">
        <v>198122</v>
      </c>
      <c r="F34" s="94">
        <v>140974.29804818757</v>
      </c>
      <c r="G34" s="126">
        <v>181690.5525603125</v>
      </c>
      <c r="H34" s="103">
        <v>69.147486493394112</v>
      </c>
      <c r="I34" s="103">
        <v>44.64004107529248</v>
      </c>
      <c r="J34" s="103">
        <v>11.383723915355558</v>
      </c>
      <c r="K34" s="103">
        <v>11.031649979829098</v>
      </c>
      <c r="L34" s="103">
        <v>10.169802325154949</v>
      </c>
      <c r="M34" s="103">
        <v>7.276194667546851</v>
      </c>
      <c r="N34" s="103">
        <v>15.498588036821065</v>
      </c>
      <c r="O34" s="178">
        <v>4.3760366041581751</v>
      </c>
      <c r="P34" s="179">
        <v>1.4590866387358352</v>
      </c>
      <c r="Q34" s="180">
        <v>1.8323757975481887</v>
      </c>
      <c r="R34" s="181">
        <v>41.872954074630861</v>
      </c>
      <c r="S34" s="178">
        <v>5.3380969363343374</v>
      </c>
      <c r="T34" s="179">
        <v>1.9588683910347806</v>
      </c>
      <c r="U34" s="180">
        <v>2.4742300312747219</v>
      </c>
      <c r="V34" s="181">
        <v>46.350414029269608</v>
      </c>
      <c r="W34" s="178">
        <v>5.68607389997202</v>
      </c>
      <c r="X34" s="179">
        <v>2.0835586311061509</v>
      </c>
      <c r="Y34" s="180">
        <v>2.6653977830768523</v>
      </c>
      <c r="Z34" s="181">
        <v>46.875890640288162</v>
      </c>
      <c r="AA34" s="178">
        <v>5.8585657160800793</v>
      </c>
      <c r="AB34" s="179">
        <v>2.5202067341897259</v>
      </c>
      <c r="AC34" s="180">
        <v>3.2374870634912489</v>
      </c>
      <c r="AD34" s="181">
        <v>55.260745042174349</v>
      </c>
      <c r="AE34" s="178">
        <v>5.9742539977258593</v>
      </c>
      <c r="AF34" s="179">
        <v>3.7600675205398151</v>
      </c>
      <c r="AG34" s="180">
        <v>4.8664278180043823</v>
      </c>
      <c r="AH34" s="181">
        <v>81.456660862708901</v>
      </c>
      <c r="AI34" s="178">
        <v>5.8270987358479545</v>
      </c>
      <c r="AJ34" s="179">
        <v>4.0296376936970306</v>
      </c>
      <c r="AK34" s="180">
        <v>5.2967117879239849</v>
      </c>
      <c r="AL34" s="181">
        <v>90.897924130561563</v>
      </c>
      <c r="AM34" s="178">
        <v>5.5368979790610373</v>
      </c>
      <c r="AN34" s="179">
        <v>2.3319837994264212</v>
      </c>
      <c r="AO34" s="180">
        <v>3.0361326313294104</v>
      </c>
      <c r="AP34" s="181">
        <v>54.834541702072073</v>
      </c>
      <c r="AQ34" s="178">
        <v>5.7299214053864684</v>
      </c>
      <c r="AR34" s="179">
        <v>3.611270429652083</v>
      </c>
      <c r="AS34" s="180">
        <v>4.6583024027290945</v>
      </c>
      <c r="AT34" s="181">
        <v>81.297841159741068</v>
      </c>
      <c r="AU34" s="178">
        <v>5.6633459281026113</v>
      </c>
      <c r="AV34" s="179">
        <v>1.8278197999272019</v>
      </c>
      <c r="AW34" s="180">
        <v>2.2613337491991818</v>
      </c>
      <c r="AX34" s="181">
        <v>39.929288761578363</v>
      </c>
      <c r="AY34" s="178">
        <v>5.7676895863671689</v>
      </c>
      <c r="AZ34" s="179">
        <v>3.1475795568294656</v>
      </c>
      <c r="BA34" s="180">
        <v>4.0338525182081399</v>
      </c>
      <c r="BB34" s="181">
        <v>69.938793650455423</v>
      </c>
      <c r="BC34" s="178">
        <v>5.647880590685844</v>
      </c>
      <c r="BD34" s="179">
        <v>2.1597001510975837</v>
      </c>
      <c r="BE34" s="180">
        <v>2.749678309497694</v>
      </c>
      <c r="BF34" s="181">
        <v>48.68513534142884</v>
      </c>
      <c r="BG34" s="178">
        <v>5.6962954354052835</v>
      </c>
      <c r="BH34" s="179">
        <v>3.2283519411763097</v>
      </c>
      <c r="BI34" s="180">
        <v>4.1465458031334483</v>
      </c>
      <c r="BJ34" s="181">
        <v>72.793727961520787</v>
      </c>
      <c r="BK34" s="178">
        <v>5.4990332774503141</v>
      </c>
      <c r="BL34" s="179">
        <v>2.6218279152850616</v>
      </c>
      <c r="BM34" s="180">
        <v>3.3485189833702265</v>
      </c>
      <c r="BN34" s="181">
        <v>60.892866335277098</v>
      </c>
      <c r="BO34" s="189">
        <v>61.125678395024089</v>
      </c>
      <c r="BP34" s="190">
        <v>5.3722787974876516</v>
      </c>
      <c r="BQ34" s="190">
        <v>4.8112689798158419</v>
      </c>
      <c r="BR34" s="190">
        <v>6.4394170376242457</v>
      </c>
      <c r="BS34" s="190">
        <v>5.4149643270931156</v>
      </c>
      <c r="BT34" s="181">
        <v>16.836392462955057</v>
      </c>
      <c r="BU34" s="189">
        <v>32.818612312126824</v>
      </c>
      <c r="BV34" s="190">
        <v>15.091620341774759</v>
      </c>
      <c r="BW34" s="190">
        <v>17.150504426600783</v>
      </c>
      <c r="BX34" s="190">
        <v>13.485690755610461</v>
      </c>
      <c r="BY34" s="190">
        <v>7.1855054560428249</v>
      </c>
      <c r="BZ34" s="181">
        <v>14.268066707844348</v>
      </c>
      <c r="CA34" s="189">
        <v>14.401928291654112</v>
      </c>
      <c r="CB34" s="190">
        <v>27.116601385959626</v>
      </c>
      <c r="CC34" s="190">
        <v>22.747815607110574</v>
      </c>
      <c r="CD34" s="190">
        <v>14.6429647484182</v>
      </c>
      <c r="CE34" s="190">
        <v>9.6414582705634224</v>
      </c>
      <c r="CF34" s="181">
        <v>11.449231696294063</v>
      </c>
      <c r="CG34" s="189">
        <v>4.3972706595905988</v>
      </c>
      <c r="CH34" s="190">
        <v>26.004548900682334</v>
      </c>
      <c r="CI34" s="190">
        <v>26.914329037149354</v>
      </c>
      <c r="CJ34" s="190">
        <v>19.484457922668689</v>
      </c>
      <c r="CK34" s="190">
        <v>12.661106899166036</v>
      </c>
      <c r="CL34" s="181">
        <v>10.538286580742987</v>
      </c>
      <c r="CM34" s="189">
        <v>1.3109978150036417</v>
      </c>
      <c r="CN34" s="190">
        <v>17.989803350327747</v>
      </c>
      <c r="CO34" s="190">
        <v>20.101966496722508</v>
      </c>
      <c r="CP34" s="190">
        <v>23.233794610342315</v>
      </c>
      <c r="CQ34" s="190">
        <v>18.936635105608158</v>
      </c>
      <c r="CR34" s="181">
        <v>18.42680262199563</v>
      </c>
      <c r="CS34" s="189">
        <v>27.475149105367791</v>
      </c>
      <c r="CT34" s="190">
        <v>7.3558648111332001</v>
      </c>
      <c r="CU34" s="190">
        <v>10.298210735586482</v>
      </c>
      <c r="CV34" s="190">
        <v>13.399602385685885</v>
      </c>
      <c r="CW34" s="190">
        <v>12.683896620278329</v>
      </c>
      <c r="CX34" s="181">
        <v>28.78727634194831</v>
      </c>
      <c r="CY34" s="189">
        <v>52.524357838795396</v>
      </c>
      <c r="CZ34" s="190">
        <v>7.7502214348981395</v>
      </c>
      <c r="DA34" s="190">
        <v>8.8131089459698853</v>
      </c>
      <c r="DB34" s="190">
        <v>9.078830823737821</v>
      </c>
      <c r="DC34" s="190">
        <v>7.1302037201062891</v>
      </c>
      <c r="DD34" s="181">
        <v>14.70327723649247</v>
      </c>
      <c r="DE34" s="189">
        <v>46.509495743287495</v>
      </c>
      <c r="DF34" s="190">
        <v>9.9279633267845444</v>
      </c>
      <c r="DG34" s="190">
        <v>10.320890635232482</v>
      </c>
      <c r="DH34" s="190">
        <v>9.4826457105435491</v>
      </c>
      <c r="DI34" s="190">
        <v>7.6358873608382449</v>
      </c>
      <c r="DJ34" s="181">
        <v>16.123117223313688</v>
      </c>
      <c r="DK34" s="189">
        <v>53.648648648648646</v>
      </c>
      <c r="DL34" s="190">
        <v>16.52027027027027</v>
      </c>
      <c r="DM34" s="190">
        <v>11.283783783783784</v>
      </c>
      <c r="DN34" s="190">
        <v>7.6351351351351351</v>
      </c>
      <c r="DO34" s="190">
        <v>3.6486486486486487</v>
      </c>
      <c r="DP34" s="181">
        <v>7.2635135135135132</v>
      </c>
      <c r="DQ34" s="189">
        <v>40.946896992962252</v>
      </c>
      <c r="DR34" s="190">
        <v>11.516314779270633</v>
      </c>
      <c r="DS34" s="190">
        <v>14.33141394753679</v>
      </c>
      <c r="DT34" s="190">
        <v>12.028150991682661</v>
      </c>
      <c r="DU34" s="190">
        <v>8.1253998720409459</v>
      </c>
      <c r="DV34" s="181">
        <v>13.051823416506716</v>
      </c>
      <c r="DW34" s="189">
        <v>47.988641741599622</v>
      </c>
      <c r="DX34" s="190">
        <v>13.882315822684966</v>
      </c>
      <c r="DY34" s="190">
        <v>11.784193090392806</v>
      </c>
      <c r="DZ34" s="190">
        <v>9.9384761003312825</v>
      </c>
      <c r="EA34" s="190">
        <v>5.4740495346269125</v>
      </c>
      <c r="EB34" s="181">
        <v>10.932323710364411</v>
      </c>
      <c r="EC34" s="189">
        <v>31.527464258841231</v>
      </c>
      <c r="ED34" s="190">
        <v>11.851015801354402</v>
      </c>
      <c r="EE34" s="190">
        <v>11.888638073739653</v>
      </c>
      <c r="EF34" s="190">
        <v>13.205417607223477</v>
      </c>
      <c r="EG34" s="190">
        <v>9.7065462753950342</v>
      </c>
      <c r="EH34" s="181">
        <v>21.820917983446201</v>
      </c>
      <c r="EI34" s="189">
        <v>47.952755905511815</v>
      </c>
      <c r="EJ34" s="190">
        <v>9.2125984251968518</v>
      </c>
      <c r="EK34" s="190">
        <v>10.866141732283465</v>
      </c>
      <c r="EL34" s="190">
        <v>8.4251968503937018</v>
      </c>
      <c r="EM34" s="190">
        <v>5.8267716535433074</v>
      </c>
      <c r="EN34" s="207">
        <v>17.716535433070867</v>
      </c>
    </row>
    <row r="35" spans="1:144" ht="12" customHeight="1" x14ac:dyDescent="0.2">
      <c r="A35" s="81" t="s">
        <v>22</v>
      </c>
      <c r="B35" s="56">
        <v>3505</v>
      </c>
      <c r="C35" s="54">
        <v>314164.09553400194</v>
      </c>
      <c r="D35" s="54">
        <v>17133</v>
      </c>
      <c r="E35" s="94">
        <v>18966</v>
      </c>
      <c r="F35" s="94">
        <v>13025.580291652574</v>
      </c>
      <c r="G35" s="126">
        <v>16598.767194784621</v>
      </c>
      <c r="H35" s="103">
        <v>96.881849032770788</v>
      </c>
      <c r="I35" s="103">
        <v>24.365192582025678</v>
      </c>
      <c r="J35" s="103">
        <v>7.38944365192582</v>
      </c>
      <c r="K35" s="103">
        <v>9.1298145506419406</v>
      </c>
      <c r="L35" s="103">
        <v>12.781740370898717</v>
      </c>
      <c r="M35" s="103">
        <v>11.783166904422254</v>
      </c>
      <c r="N35" s="103">
        <v>34.55064194008559</v>
      </c>
      <c r="O35" s="178">
        <v>4.3883508255057651</v>
      </c>
      <c r="P35" s="179">
        <v>3.1400337571688022</v>
      </c>
      <c r="Q35" s="180">
        <v>3.9821987575180904</v>
      </c>
      <c r="R35" s="181">
        <v>90.744767587243572</v>
      </c>
      <c r="S35" s="178">
        <v>5.3580328699307493</v>
      </c>
      <c r="T35" s="179">
        <v>3.7518416160468271</v>
      </c>
      <c r="U35" s="180">
        <v>4.7644374834424141</v>
      </c>
      <c r="V35" s="181">
        <v>88.921393337849977</v>
      </c>
      <c r="W35" s="178">
        <v>5.6871873299677196</v>
      </c>
      <c r="X35" s="179">
        <v>4.6376271916843859</v>
      </c>
      <c r="Y35" s="180">
        <v>5.9440386544470387</v>
      </c>
      <c r="Z35" s="181">
        <v>104.51631552781606</v>
      </c>
      <c r="AA35" s="178">
        <v>5.8562760016072595</v>
      </c>
      <c r="AB35" s="179">
        <v>4.3418176561227462</v>
      </c>
      <c r="AC35" s="180">
        <v>5.578118911992461</v>
      </c>
      <c r="AD35" s="181">
        <v>95.250273560562064</v>
      </c>
      <c r="AE35" s="178">
        <v>5.9653796332121773</v>
      </c>
      <c r="AF35" s="179">
        <v>4.675724489636174</v>
      </c>
      <c r="AG35" s="180">
        <v>5.9398484479251481</v>
      </c>
      <c r="AH35" s="181">
        <v>99.572010720912303</v>
      </c>
      <c r="AI35" s="178">
        <v>5.5005840698620014</v>
      </c>
      <c r="AJ35" s="179">
        <v>4.2114267199824074</v>
      </c>
      <c r="AK35" s="180">
        <v>5.5008272001098488</v>
      </c>
      <c r="AL35" s="181">
        <v>100.00442008057252</v>
      </c>
      <c r="AM35" s="178">
        <v>5.1025981368350637</v>
      </c>
      <c r="AN35" s="179">
        <v>2.7161268888876839</v>
      </c>
      <c r="AO35" s="180">
        <v>3.4831390678497809</v>
      </c>
      <c r="AP35" s="181">
        <v>68.262069135043276</v>
      </c>
      <c r="AQ35" s="178">
        <v>5.3550865114642834</v>
      </c>
      <c r="AR35" s="179">
        <v>3.7515078983159942</v>
      </c>
      <c r="AS35" s="180">
        <v>4.7000864892904968</v>
      </c>
      <c r="AT35" s="181">
        <v>87.768637896483114</v>
      </c>
      <c r="AU35" s="178">
        <v>5.6299874184705097</v>
      </c>
      <c r="AV35" s="179">
        <v>2.1267394794485726</v>
      </c>
      <c r="AW35" s="180">
        <v>2.6163931854202556</v>
      </c>
      <c r="AX35" s="181">
        <v>46.472451729404526</v>
      </c>
      <c r="AY35" s="178">
        <v>5.8430630091576496</v>
      </c>
      <c r="AZ35" s="179">
        <v>4.9864781482491765</v>
      </c>
      <c r="BA35" s="180">
        <v>6.4321933281332235</v>
      </c>
      <c r="BB35" s="181">
        <v>110.08255974738333</v>
      </c>
      <c r="BC35" s="178">
        <v>5.4874427486178536</v>
      </c>
      <c r="BD35" s="179">
        <v>5.2002883520245673</v>
      </c>
      <c r="BE35" s="180">
        <v>6.4191297636049764</v>
      </c>
      <c r="BF35" s="181">
        <v>116.97852820827678</v>
      </c>
      <c r="BG35" s="178">
        <v>5.4316739176708948</v>
      </c>
      <c r="BH35" s="179">
        <v>4.5750639194514626</v>
      </c>
      <c r="BI35" s="180">
        <v>5.8709043442943472</v>
      </c>
      <c r="BJ35" s="181">
        <v>108.08646530113859</v>
      </c>
      <c r="BK35" s="178">
        <v>5.2244724739590289</v>
      </c>
      <c r="BL35" s="179">
        <v>2.6492168069580604</v>
      </c>
      <c r="BM35" s="180">
        <v>3.3177908211027494</v>
      </c>
      <c r="BN35" s="181">
        <v>63.504800487322235</v>
      </c>
      <c r="BO35" s="189">
        <v>34.776959722823733</v>
      </c>
      <c r="BP35" s="190">
        <v>6.9727154612386304</v>
      </c>
      <c r="BQ35" s="190">
        <v>6.0632308358596791</v>
      </c>
      <c r="BR35" s="190">
        <v>9.224772628843656</v>
      </c>
      <c r="BS35" s="190">
        <v>8.3585967951494151</v>
      </c>
      <c r="BT35" s="181">
        <v>34.603724556084885</v>
      </c>
      <c r="BU35" s="189">
        <v>7.2115384615384608</v>
      </c>
      <c r="BV35" s="190">
        <v>9.9358974358974361</v>
      </c>
      <c r="BW35" s="190">
        <v>15.544871794871796</v>
      </c>
      <c r="BX35" s="190">
        <v>16.666666666666664</v>
      </c>
      <c r="BY35" s="190">
        <v>15.544871794871796</v>
      </c>
      <c r="BZ35" s="181">
        <v>35.096153846153847</v>
      </c>
      <c r="CA35" s="189">
        <v>1.0471204188481675</v>
      </c>
      <c r="CB35" s="190">
        <v>7.0680628272251314</v>
      </c>
      <c r="CC35" s="190">
        <v>14.921465968586386</v>
      </c>
      <c r="CD35" s="190">
        <v>23.821989528795811</v>
      </c>
      <c r="CE35" s="190">
        <v>20.418848167539267</v>
      </c>
      <c r="CF35" s="181">
        <v>32.722513089005233</v>
      </c>
      <c r="CG35" s="189">
        <v>0.84745762711864403</v>
      </c>
      <c r="CH35" s="190">
        <v>5.0847457627118651</v>
      </c>
      <c r="CI35" s="190">
        <v>12.711864406779661</v>
      </c>
      <c r="CJ35" s="190">
        <v>16.949152542372879</v>
      </c>
      <c r="CK35" s="190">
        <v>27.118644067796609</v>
      </c>
      <c r="CL35" s="181">
        <v>37.288135593220339</v>
      </c>
      <c r="CM35" s="189">
        <v>1.3888888888888888</v>
      </c>
      <c r="CN35" s="190">
        <v>4.1666666666666661</v>
      </c>
      <c r="CO35" s="190">
        <v>15.277777777777779</v>
      </c>
      <c r="CP35" s="190">
        <v>27.777777777777779</v>
      </c>
      <c r="CQ35" s="190">
        <v>18.055555555555554</v>
      </c>
      <c r="CR35" s="181">
        <v>33.333333333333329</v>
      </c>
      <c r="CS35" s="189">
        <v>17.654320987654319</v>
      </c>
      <c r="CT35" s="190">
        <v>6.1728395061728394</v>
      </c>
      <c r="CU35" s="190">
        <v>8.2716049382716061</v>
      </c>
      <c r="CV35" s="190">
        <v>11.604938271604938</v>
      </c>
      <c r="CW35" s="190">
        <v>15.06172839506173</v>
      </c>
      <c r="CX35" s="181">
        <v>41.23456790123457</v>
      </c>
      <c r="CY35" s="189">
        <v>30.481283422459892</v>
      </c>
      <c r="CZ35" s="190">
        <v>11.76470588235294</v>
      </c>
      <c r="DA35" s="190">
        <v>6.9518716577540109</v>
      </c>
      <c r="DB35" s="190">
        <v>11.229946524064172</v>
      </c>
      <c r="DC35" s="190">
        <v>9.8930481283422473</v>
      </c>
      <c r="DD35" s="181">
        <v>29.679144385026738</v>
      </c>
      <c r="DE35" s="189">
        <v>26.47058823529412</v>
      </c>
      <c r="DF35" s="190">
        <v>6.4338235294117645</v>
      </c>
      <c r="DG35" s="190">
        <v>9.375</v>
      </c>
      <c r="DH35" s="190">
        <v>13.419117647058822</v>
      </c>
      <c r="DI35" s="190">
        <v>11.856617647058822</v>
      </c>
      <c r="DJ35" s="181">
        <v>32.444852941176471</v>
      </c>
      <c r="DK35" s="189">
        <v>38.888888888888893</v>
      </c>
      <c r="DL35" s="190">
        <v>3.7037037037037033</v>
      </c>
      <c r="DM35" s="190">
        <v>5.5555555555555554</v>
      </c>
      <c r="DN35" s="190">
        <v>9.2592592592592595</v>
      </c>
      <c r="DO35" s="190">
        <v>12.962962962962962</v>
      </c>
      <c r="DP35" s="181">
        <v>29.629629629629626</v>
      </c>
      <c r="DQ35" s="189">
        <v>19</v>
      </c>
      <c r="DR35" s="190">
        <v>9</v>
      </c>
      <c r="DS35" s="190">
        <v>8</v>
      </c>
      <c r="DT35" s="190">
        <v>15</v>
      </c>
      <c r="DU35" s="190">
        <v>13</v>
      </c>
      <c r="DV35" s="181">
        <v>36</v>
      </c>
      <c r="DW35" s="189">
        <v>30.099502487562191</v>
      </c>
      <c r="DX35" s="190">
        <v>10.199004975124378</v>
      </c>
      <c r="DY35" s="190">
        <v>9.7014925373134329</v>
      </c>
      <c r="DZ35" s="190">
        <v>13.184079601990051</v>
      </c>
      <c r="EA35" s="190">
        <v>6.9651741293532341</v>
      </c>
      <c r="EB35" s="181">
        <v>29.850746268656714</v>
      </c>
      <c r="EC35" s="189">
        <v>18.426501035196686</v>
      </c>
      <c r="ED35" s="190">
        <v>5.7971014492753623</v>
      </c>
      <c r="EE35" s="190">
        <v>10.351966873706004</v>
      </c>
      <c r="EF35" s="190">
        <v>15.734989648033126</v>
      </c>
      <c r="EG35" s="190">
        <v>11.387163561076605</v>
      </c>
      <c r="EH35" s="181">
        <v>38.302277432712216</v>
      </c>
      <c r="EI35" s="189">
        <v>32.758620689655174</v>
      </c>
      <c r="EJ35" s="190">
        <v>8.6206896551724146</v>
      </c>
      <c r="EK35" s="190">
        <v>13.218390804597702</v>
      </c>
      <c r="EL35" s="190">
        <v>8.0459770114942533</v>
      </c>
      <c r="EM35" s="190">
        <v>10.919540229885058</v>
      </c>
      <c r="EN35" s="207">
        <v>26.436781609195403</v>
      </c>
    </row>
    <row r="36" spans="1:144" ht="12" customHeight="1" x14ac:dyDescent="0.2">
      <c r="A36" s="81" t="s">
        <v>23</v>
      </c>
      <c r="B36" s="56">
        <v>3899</v>
      </c>
      <c r="C36" s="54">
        <v>319032.32969291613</v>
      </c>
      <c r="D36" s="54">
        <v>17244</v>
      </c>
      <c r="E36" s="94">
        <v>18286</v>
      </c>
      <c r="F36" s="94">
        <v>12164.776491298519</v>
      </c>
      <c r="G36" s="126">
        <v>15644.433135869611</v>
      </c>
      <c r="H36" s="103">
        <v>90.72392215187665</v>
      </c>
      <c r="I36" s="103">
        <v>23.288022569889716</v>
      </c>
      <c r="J36" s="103">
        <v>7.3865093613747117</v>
      </c>
      <c r="K36" s="103">
        <v>9.7460887407027457</v>
      </c>
      <c r="L36" s="103">
        <v>12.772505770710438</v>
      </c>
      <c r="M36" s="103">
        <v>11.310592459605028</v>
      </c>
      <c r="N36" s="103">
        <v>35.496281097717365</v>
      </c>
      <c r="O36" s="178">
        <v>4.3777178091109423</v>
      </c>
      <c r="P36" s="179">
        <v>2.9363618975214161</v>
      </c>
      <c r="Q36" s="180">
        <v>3.7053055147312155</v>
      </c>
      <c r="R36" s="181">
        <v>84.640117894755647</v>
      </c>
      <c r="S36" s="178">
        <v>5.3326084449315019</v>
      </c>
      <c r="T36" s="179">
        <v>3.4782961231449305</v>
      </c>
      <c r="U36" s="180">
        <v>4.5049750364122145</v>
      </c>
      <c r="V36" s="181">
        <v>84.479764132955793</v>
      </c>
      <c r="W36" s="178">
        <v>5.7073469354620219</v>
      </c>
      <c r="X36" s="179">
        <v>3.9668224853423304</v>
      </c>
      <c r="Y36" s="180">
        <v>5.1502475675466908</v>
      </c>
      <c r="Z36" s="181">
        <v>90.238908301616462</v>
      </c>
      <c r="AA36" s="178">
        <v>5.8505843611249428</v>
      </c>
      <c r="AB36" s="179">
        <v>4.1133706100472542</v>
      </c>
      <c r="AC36" s="180">
        <v>5.3206216047095669</v>
      </c>
      <c r="AD36" s="181">
        <v>90.941712422150673</v>
      </c>
      <c r="AE36" s="178">
        <v>5.9616727706455448</v>
      </c>
      <c r="AF36" s="179">
        <v>4.6045406620265776</v>
      </c>
      <c r="AG36" s="180">
        <v>5.9108396759172646</v>
      </c>
      <c r="AH36" s="181">
        <v>99.147335040283082</v>
      </c>
      <c r="AI36" s="178">
        <v>5.4402538575023831</v>
      </c>
      <c r="AJ36" s="179">
        <v>4.1106780560563685</v>
      </c>
      <c r="AK36" s="180">
        <v>5.3658929439626544</v>
      </c>
      <c r="AL36" s="181">
        <v>98.633135227004516</v>
      </c>
      <c r="AM36" s="178">
        <v>5.0465983141680573</v>
      </c>
      <c r="AN36" s="179">
        <v>2.9380335184765252</v>
      </c>
      <c r="AO36" s="180">
        <v>3.7395189300016924</v>
      </c>
      <c r="AP36" s="181">
        <v>74.099793508494443</v>
      </c>
      <c r="AQ36" s="178">
        <v>5.4044597778722929</v>
      </c>
      <c r="AR36" s="179">
        <v>3.2312957296432283</v>
      </c>
      <c r="AS36" s="180">
        <v>4.1810626235325161</v>
      </c>
      <c r="AT36" s="181">
        <v>77.363192536860311</v>
      </c>
      <c r="AU36" s="178">
        <v>5.1204632097888769</v>
      </c>
      <c r="AV36" s="179">
        <v>1.1971857606189373</v>
      </c>
      <c r="AW36" s="180">
        <v>1.4773276381394107</v>
      </c>
      <c r="AX36" s="181">
        <v>28.851445223064552</v>
      </c>
      <c r="AY36" s="178">
        <v>5.7102959801375519</v>
      </c>
      <c r="AZ36" s="179">
        <v>4.9814693859476256</v>
      </c>
      <c r="BA36" s="180">
        <v>6.3266156756246206</v>
      </c>
      <c r="BB36" s="181">
        <v>110.79313047223557</v>
      </c>
      <c r="BC36" s="178">
        <v>5.2780223716794898</v>
      </c>
      <c r="BD36" s="179">
        <v>3.2506304986044698</v>
      </c>
      <c r="BE36" s="180">
        <v>4.0473262343959693</v>
      </c>
      <c r="BF36" s="181">
        <v>76.68262749534523</v>
      </c>
      <c r="BG36" s="178">
        <v>5.4957241837314346</v>
      </c>
      <c r="BH36" s="179">
        <v>4.710946896575992</v>
      </c>
      <c r="BI36" s="180">
        <v>6.0013459160853602</v>
      </c>
      <c r="BJ36" s="181">
        <v>109.20027489462949</v>
      </c>
      <c r="BK36" s="178">
        <v>5.1163268146141396</v>
      </c>
      <c r="BL36" s="179">
        <v>3.0258881580598747</v>
      </c>
      <c r="BM36" s="180">
        <v>3.8389500284640743</v>
      </c>
      <c r="BN36" s="181">
        <v>75.033323076598606</v>
      </c>
      <c r="BO36" s="189">
        <v>32.961783439490446</v>
      </c>
      <c r="BP36" s="190">
        <v>6.5684713375796182</v>
      </c>
      <c r="BQ36" s="190">
        <v>6.9665605095541396</v>
      </c>
      <c r="BR36" s="190">
        <v>9.0366242038216562</v>
      </c>
      <c r="BS36" s="190">
        <v>8.2802547770700627</v>
      </c>
      <c r="BT36" s="181">
        <v>36.186305732484072</v>
      </c>
      <c r="BU36" s="189">
        <v>9.3622795115332433</v>
      </c>
      <c r="BV36" s="190">
        <v>10.990502035278155</v>
      </c>
      <c r="BW36" s="190">
        <v>14.246947082767978</v>
      </c>
      <c r="BX36" s="190">
        <v>19.674355495251017</v>
      </c>
      <c r="BY36" s="190">
        <v>12.754409769335142</v>
      </c>
      <c r="BZ36" s="181">
        <v>32.971506105834465</v>
      </c>
      <c r="CA36" s="189">
        <v>1.7316017316017316</v>
      </c>
      <c r="CB36" s="190">
        <v>7.3593073593073601</v>
      </c>
      <c r="CC36" s="190">
        <v>16.883116883116884</v>
      </c>
      <c r="CD36" s="190">
        <v>19.696969696969695</v>
      </c>
      <c r="CE36" s="190">
        <v>19.696969696969695</v>
      </c>
      <c r="CF36" s="181">
        <v>34.632034632034632</v>
      </c>
      <c r="CG36" s="189">
        <v>2.4390243902439024</v>
      </c>
      <c r="CH36" s="190">
        <v>4.0650406504065035</v>
      </c>
      <c r="CI36" s="190">
        <v>12.195121951219512</v>
      </c>
      <c r="CJ36" s="190">
        <v>17.073170731707318</v>
      </c>
      <c r="CK36" s="190">
        <v>24.390243902439025</v>
      </c>
      <c r="CL36" s="181">
        <v>39.837398373983739</v>
      </c>
      <c r="CM36" s="189">
        <v>0</v>
      </c>
      <c r="CN36" s="190">
        <v>4.6153846153846159</v>
      </c>
      <c r="CO36" s="190">
        <v>10.76923076923077</v>
      </c>
      <c r="CP36" s="190">
        <v>21.53846153846154</v>
      </c>
      <c r="CQ36" s="190">
        <v>27.692307692307693</v>
      </c>
      <c r="CR36" s="181">
        <v>35.384615384615387</v>
      </c>
      <c r="CS36" s="189">
        <v>15.246212121212121</v>
      </c>
      <c r="CT36" s="190">
        <v>6.0606060606060606</v>
      </c>
      <c r="CU36" s="190">
        <v>8.9015151515151523</v>
      </c>
      <c r="CV36" s="190">
        <v>14.962121212121213</v>
      </c>
      <c r="CW36" s="190">
        <v>13.731060606060606</v>
      </c>
      <c r="CX36" s="181">
        <v>41.098484848484851</v>
      </c>
      <c r="CY36" s="189">
        <v>31.428571428571427</v>
      </c>
      <c r="CZ36" s="190">
        <v>7.7142857142857135</v>
      </c>
      <c r="DA36" s="190">
        <v>6.5714285714285712</v>
      </c>
      <c r="DB36" s="190">
        <v>9.1428571428571423</v>
      </c>
      <c r="DC36" s="190">
        <v>12.857142857142856</v>
      </c>
      <c r="DD36" s="181">
        <v>32.285714285714285</v>
      </c>
      <c r="DE36" s="189">
        <v>26.184323858742463</v>
      </c>
      <c r="DF36" s="190">
        <v>8.354866494401378</v>
      </c>
      <c r="DG36" s="190">
        <v>9.7329888027562443</v>
      </c>
      <c r="DH36" s="190">
        <v>11.541774332472007</v>
      </c>
      <c r="DI36" s="190">
        <v>11.455641688199828</v>
      </c>
      <c r="DJ36" s="181">
        <v>32.730404823428074</v>
      </c>
      <c r="DK36" s="189">
        <v>60.465116279069761</v>
      </c>
      <c r="DL36" s="190">
        <v>9.3023255813953494</v>
      </c>
      <c r="DM36" s="190">
        <v>6.9767441860465116</v>
      </c>
      <c r="DN36" s="190">
        <v>6.9767441860465116</v>
      </c>
      <c r="DO36" s="190">
        <v>2.3255813953488373</v>
      </c>
      <c r="DP36" s="181">
        <v>13.953488372093023</v>
      </c>
      <c r="DQ36" s="189">
        <v>29.591836734693878</v>
      </c>
      <c r="DR36" s="190">
        <v>5.1020408163265305</v>
      </c>
      <c r="DS36" s="190">
        <v>10.204081632653061</v>
      </c>
      <c r="DT36" s="190">
        <v>13.26530612244898</v>
      </c>
      <c r="DU36" s="190">
        <v>8.1632653061224492</v>
      </c>
      <c r="DV36" s="181">
        <v>33.673469387755098</v>
      </c>
      <c r="DW36" s="189">
        <v>28.07017543859649</v>
      </c>
      <c r="DX36" s="190">
        <v>8.5213032581453625</v>
      </c>
      <c r="DY36" s="190">
        <v>12.781954887218044</v>
      </c>
      <c r="DZ36" s="190">
        <v>11.528822055137844</v>
      </c>
      <c r="EA36" s="190">
        <v>7.7694235588972429</v>
      </c>
      <c r="EB36" s="181">
        <v>31.32832080200501</v>
      </c>
      <c r="EC36" s="189">
        <v>15.824915824915825</v>
      </c>
      <c r="ED36" s="190">
        <v>7.4074074074074066</v>
      </c>
      <c r="EE36" s="190">
        <v>12.289562289562289</v>
      </c>
      <c r="EF36" s="190">
        <v>14.646464646464647</v>
      </c>
      <c r="EG36" s="190">
        <v>10.606060606060606</v>
      </c>
      <c r="EH36" s="181">
        <v>39.225589225589225</v>
      </c>
      <c r="EI36" s="189">
        <v>36.315789473684212</v>
      </c>
      <c r="EJ36" s="190">
        <v>6.8421052631578956</v>
      </c>
      <c r="EK36" s="190">
        <v>6.8421052631578956</v>
      </c>
      <c r="EL36" s="190">
        <v>13.157894736842104</v>
      </c>
      <c r="EM36" s="190">
        <v>6.8421052631578956</v>
      </c>
      <c r="EN36" s="207">
        <v>30</v>
      </c>
    </row>
    <row r="37" spans="1:144" ht="12" customHeight="1" x14ac:dyDescent="0.2">
      <c r="A37" s="81" t="s">
        <v>24</v>
      </c>
      <c r="B37" s="56">
        <v>4755</v>
      </c>
      <c r="C37" s="54">
        <v>420767.45566822443</v>
      </c>
      <c r="D37" s="54">
        <v>22931</v>
      </c>
      <c r="E37" s="94">
        <v>25725</v>
      </c>
      <c r="F37" s="94">
        <v>16713.33043247887</v>
      </c>
      <c r="G37" s="126">
        <v>21322.378477427937</v>
      </c>
      <c r="H37" s="103">
        <v>92.984948224795858</v>
      </c>
      <c r="I37" s="103">
        <v>24.227129337539431</v>
      </c>
      <c r="J37" s="103">
        <v>7.9705573080967405</v>
      </c>
      <c r="K37" s="103">
        <v>9.1482649842271293</v>
      </c>
      <c r="L37" s="103">
        <v>11.735015772870662</v>
      </c>
      <c r="M37" s="103">
        <v>12.008412197686646</v>
      </c>
      <c r="N37" s="103">
        <v>34.910620399579386</v>
      </c>
      <c r="O37" s="178">
        <v>4.4264366730276503</v>
      </c>
      <c r="P37" s="179">
        <v>3.1112210778081799</v>
      </c>
      <c r="Q37" s="180">
        <v>3.9208558718043913</v>
      </c>
      <c r="R37" s="181">
        <v>88.578153522358065</v>
      </c>
      <c r="S37" s="178">
        <v>5.3426919874999044</v>
      </c>
      <c r="T37" s="179">
        <v>3.9278572471093329</v>
      </c>
      <c r="U37" s="180">
        <v>4.9296168742772322</v>
      </c>
      <c r="V37" s="181">
        <v>92.268408618929783</v>
      </c>
      <c r="W37" s="178">
        <v>5.6872616559304188</v>
      </c>
      <c r="X37" s="179">
        <v>3.7866312691315094</v>
      </c>
      <c r="Y37" s="180">
        <v>4.8672707555663521</v>
      </c>
      <c r="Z37" s="181">
        <v>85.581973364826325</v>
      </c>
      <c r="AA37" s="178">
        <v>5.8550201635928456</v>
      </c>
      <c r="AB37" s="179">
        <v>4.201450617712549</v>
      </c>
      <c r="AC37" s="180">
        <v>5.3837102071422187</v>
      </c>
      <c r="AD37" s="181">
        <v>91.950327355296167</v>
      </c>
      <c r="AE37" s="178">
        <v>5.9614173402185822</v>
      </c>
      <c r="AF37" s="179">
        <v>4.6891315012040895</v>
      </c>
      <c r="AG37" s="180">
        <v>6.0225993812921699</v>
      </c>
      <c r="AH37" s="181">
        <v>101.02630025012382</v>
      </c>
      <c r="AI37" s="178">
        <v>5.560766103960443</v>
      </c>
      <c r="AJ37" s="179">
        <v>4.0654185750858236</v>
      </c>
      <c r="AK37" s="180">
        <v>5.2820165317474554</v>
      </c>
      <c r="AL37" s="181">
        <v>94.987209190214656</v>
      </c>
      <c r="AM37" s="178">
        <v>5.1125452211023754</v>
      </c>
      <c r="AN37" s="179">
        <v>2.9721108121345812</v>
      </c>
      <c r="AO37" s="180">
        <v>3.772252666071406</v>
      </c>
      <c r="AP37" s="181">
        <v>73.784240587274979</v>
      </c>
      <c r="AQ37" s="178">
        <v>5.417931262070967</v>
      </c>
      <c r="AR37" s="179">
        <v>3.7332109829130551</v>
      </c>
      <c r="AS37" s="180">
        <v>4.7311021099544588</v>
      </c>
      <c r="AT37" s="181">
        <v>87.323036803276594</v>
      </c>
      <c r="AU37" s="178">
        <v>5.4830528131749201</v>
      </c>
      <c r="AV37" s="179">
        <v>3.1125966803207912</v>
      </c>
      <c r="AW37" s="180">
        <v>4.0022921206976765</v>
      </c>
      <c r="AX37" s="181">
        <v>72.993864131324685</v>
      </c>
      <c r="AY37" s="178">
        <v>5.6079206486920459</v>
      </c>
      <c r="AZ37" s="179">
        <v>3.7144441839388644</v>
      </c>
      <c r="BA37" s="180">
        <v>4.7250190060771091</v>
      </c>
      <c r="BB37" s="181">
        <v>84.256167340369558</v>
      </c>
      <c r="BC37" s="178">
        <v>5.4035771125465262</v>
      </c>
      <c r="BD37" s="179">
        <v>3.982715126168717</v>
      </c>
      <c r="BE37" s="180">
        <v>5.0275109429533122</v>
      </c>
      <c r="BF37" s="181">
        <v>93.04042189533989</v>
      </c>
      <c r="BG37" s="178">
        <v>5.5017942171025807</v>
      </c>
      <c r="BH37" s="179">
        <v>5.0730217864099574</v>
      </c>
      <c r="BI37" s="180">
        <v>6.440748472968048</v>
      </c>
      <c r="BJ37" s="181">
        <v>117.06632816157838</v>
      </c>
      <c r="BK37" s="178">
        <v>5.3936889102528065</v>
      </c>
      <c r="BL37" s="179">
        <v>3.0267432141337545</v>
      </c>
      <c r="BM37" s="180">
        <v>3.7880675350344664</v>
      </c>
      <c r="BN37" s="181">
        <v>70.231479754677153</v>
      </c>
      <c r="BO37" s="189">
        <v>33.961661341853031</v>
      </c>
      <c r="BP37" s="190">
        <v>7.1565495207667738</v>
      </c>
      <c r="BQ37" s="190">
        <v>5.9105431309904155</v>
      </c>
      <c r="BR37" s="190">
        <v>8.722044728434506</v>
      </c>
      <c r="BS37" s="190">
        <v>8.6261980830670915</v>
      </c>
      <c r="BT37" s="181">
        <v>35.623003194888184</v>
      </c>
      <c r="BU37" s="189">
        <v>8.8516746411483265</v>
      </c>
      <c r="BV37" s="190">
        <v>11.004784688995215</v>
      </c>
      <c r="BW37" s="190">
        <v>15.669856459330145</v>
      </c>
      <c r="BX37" s="190">
        <v>16.866028708133971</v>
      </c>
      <c r="BY37" s="190">
        <v>14.593301435406699</v>
      </c>
      <c r="BZ37" s="181">
        <v>33.014354066985646</v>
      </c>
      <c r="CA37" s="189">
        <v>2.6565464895635675</v>
      </c>
      <c r="CB37" s="190">
        <v>9.4876660341555983</v>
      </c>
      <c r="CC37" s="190">
        <v>16.318785578747626</v>
      </c>
      <c r="CD37" s="190">
        <v>18.216318785578746</v>
      </c>
      <c r="CE37" s="190">
        <v>20.49335863377609</v>
      </c>
      <c r="CF37" s="181">
        <v>32.827324478178369</v>
      </c>
      <c r="CG37" s="189">
        <v>0</v>
      </c>
      <c r="CH37" s="190">
        <v>5.3892215568862278</v>
      </c>
      <c r="CI37" s="190">
        <v>11.976047904191617</v>
      </c>
      <c r="CJ37" s="190">
        <v>17.365269461077844</v>
      </c>
      <c r="CK37" s="190">
        <v>28.742514970059879</v>
      </c>
      <c r="CL37" s="181">
        <v>36.526946107784433</v>
      </c>
      <c r="CM37" s="189">
        <v>1.0526315789473684</v>
      </c>
      <c r="CN37" s="190">
        <v>4.2105263157894735</v>
      </c>
      <c r="CO37" s="190">
        <v>13.684210526315791</v>
      </c>
      <c r="CP37" s="190">
        <v>20</v>
      </c>
      <c r="CQ37" s="190">
        <v>24.210526315789473</v>
      </c>
      <c r="CR37" s="181">
        <v>36.84210526315789</v>
      </c>
      <c r="CS37" s="189">
        <v>15.638297872340425</v>
      </c>
      <c r="CT37" s="190">
        <v>6.5957446808510634</v>
      </c>
      <c r="CU37" s="190">
        <v>8.085106382978724</v>
      </c>
      <c r="CV37" s="190">
        <v>12.659574468085106</v>
      </c>
      <c r="CW37" s="190">
        <v>14.255319148936172</v>
      </c>
      <c r="CX37" s="181">
        <v>42.765957446808514</v>
      </c>
      <c r="CY37" s="189">
        <v>31.809872029250457</v>
      </c>
      <c r="CZ37" s="190">
        <v>7.3126142595978063</v>
      </c>
      <c r="DA37" s="190">
        <v>6.7641681901279709</v>
      </c>
      <c r="DB37" s="190">
        <v>10.237659963436929</v>
      </c>
      <c r="DC37" s="190">
        <v>9.1407678244972583</v>
      </c>
      <c r="DD37" s="181">
        <v>34.734917733089581</v>
      </c>
      <c r="DE37" s="189">
        <v>25.925925925925924</v>
      </c>
      <c r="DF37" s="190">
        <v>9.2267706302794021</v>
      </c>
      <c r="DG37" s="190">
        <v>10.201429499675113</v>
      </c>
      <c r="DH37" s="190">
        <v>13.64522417153996</v>
      </c>
      <c r="DI37" s="190">
        <v>11.046133853151396</v>
      </c>
      <c r="DJ37" s="181">
        <v>29.9545159194282</v>
      </c>
      <c r="DK37" s="189">
        <v>40.298507462686565</v>
      </c>
      <c r="DL37" s="190">
        <v>14.925373134328357</v>
      </c>
      <c r="DM37" s="190">
        <v>14.925373134328357</v>
      </c>
      <c r="DN37" s="190">
        <v>5.9701492537313428</v>
      </c>
      <c r="DO37" s="190">
        <v>7.4626865671641784</v>
      </c>
      <c r="DP37" s="181">
        <v>16.417910447761194</v>
      </c>
      <c r="DQ37" s="189">
        <v>30.46875</v>
      </c>
      <c r="DR37" s="190">
        <v>11.71875</v>
      </c>
      <c r="DS37" s="190">
        <v>10.9375</v>
      </c>
      <c r="DT37" s="190">
        <v>4.6875</v>
      </c>
      <c r="DU37" s="190">
        <v>13.28125</v>
      </c>
      <c r="DV37" s="181">
        <v>28.90625</v>
      </c>
      <c r="DW37" s="189">
        <v>32.315978456014363</v>
      </c>
      <c r="DX37" s="190">
        <v>8.0789946140035909</v>
      </c>
      <c r="DY37" s="190">
        <v>8.4380610412926398</v>
      </c>
      <c r="DZ37" s="190">
        <v>11.310592459605028</v>
      </c>
      <c r="EA37" s="190">
        <v>10.951526032315979</v>
      </c>
      <c r="EB37" s="181">
        <v>28.904847396768403</v>
      </c>
      <c r="EC37" s="189">
        <v>14.763231197771587</v>
      </c>
      <c r="ED37" s="190">
        <v>5.9888579387186631</v>
      </c>
      <c r="EE37" s="190">
        <v>9.8885793871866294</v>
      </c>
      <c r="EF37" s="190">
        <v>10.724233983286908</v>
      </c>
      <c r="EG37" s="190">
        <v>14.763231197771587</v>
      </c>
      <c r="EH37" s="181">
        <v>43.871866295264624</v>
      </c>
      <c r="EI37" s="189">
        <v>32.286995515695068</v>
      </c>
      <c r="EJ37" s="190">
        <v>9.8654708520179373</v>
      </c>
      <c r="EK37" s="190">
        <v>8.9686098654708513</v>
      </c>
      <c r="EL37" s="190">
        <v>8.071748878923767</v>
      </c>
      <c r="EM37" s="190">
        <v>12.107623318385651</v>
      </c>
      <c r="EN37" s="207">
        <v>28.699551569506728</v>
      </c>
    </row>
    <row r="38" spans="1:144" ht="12" customHeight="1" x14ac:dyDescent="0.2">
      <c r="A38" s="82" t="s">
        <v>43</v>
      </c>
      <c r="B38" s="56">
        <v>8156</v>
      </c>
      <c r="C38" s="54">
        <v>878942.8305203605</v>
      </c>
      <c r="D38" s="54">
        <v>48772</v>
      </c>
      <c r="E38" s="94">
        <v>58347</v>
      </c>
      <c r="F38" s="94">
        <v>38422.459385870709</v>
      </c>
      <c r="G38" s="126">
        <v>48483.475883075211</v>
      </c>
      <c r="H38" s="103">
        <v>99.408422625841069</v>
      </c>
      <c r="I38" s="103">
        <v>25.110348209906817</v>
      </c>
      <c r="J38" s="103">
        <v>7.8715056400196177</v>
      </c>
      <c r="K38" s="103">
        <v>9.9803825404610116</v>
      </c>
      <c r="L38" s="103">
        <v>11.353604708190289</v>
      </c>
      <c r="M38" s="103">
        <v>10.765080922020598</v>
      </c>
      <c r="N38" s="103">
        <v>34.919077979401671</v>
      </c>
      <c r="O38" s="178">
        <v>4.384446572680063</v>
      </c>
      <c r="P38" s="179">
        <v>3.046605307808357</v>
      </c>
      <c r="Q38" s="180">
        <v>3.8127988868582618</v>
      </c>
      <c r="R38" s="181">
        <v>86.961919221828424</v>
      </c>
      <c r="S38" s="178">
        <v>5.3498538290934263</v>
      </c>
      <c r="T38" s="179">
        <v>3.7697969498208099</v>
      </c>
      <c r="U38" s="180">
        <v>4.7652264806726921</v>
      </c>
      <c r="V38" s="181">
        <v>89.072087442063747</v>
      </c>
      <c r="W38" s="178">
        <v>5.6883108649630074</v>
      </c>
      <c r="X38" s="179">
        <v>3.979630330720251</v>
      </c>
      <c r="Y38" s="180">
        <v>5.0610270172317531</v>
      </c>
      <c r="Z38" s="181">
        <v>88.972405646903169</v>
      </c>
      <c r="AA38" s="178">
        <v>5.8737639382816678</v>
      </c>
      <c r="AB38" s="179">
        <v>4.6192987147407045</v>
      </c>
      <c r="AC38" s="180">
        <v>5.8137416011152441</v>
      </c>
      <c r="AD38" s="181">
        <v>98.97812820199951</v>
      </c>
      <c r="AE38" s="178">
        <v>5.9728684366506659</v>
      </c>
      <c r="AF38" s="179">
        <v>5.1835686626806172</v>
      </c>
      <c r="AG38" s="180">
        <v>6.5426870118528946</v>
      </c>
      <c r="AH38" s="181">
        <v>109.54011596347432</v>
      </c>
      <c r="AI38" s="178">
        <v>5.4997368475089337</v>
      </c>
      <c r="AJ38" s="179">
        <v>4.5607650636252375</v>
      </c>
      <c r="AK38" s="180">
        <v>5.9447446583664405</v>
      </c>
      <c r="AL38" s="181">
        <v>108.09143824870586</v>
      </c>
      <c r="AM38" s="178">
        <v>5.0955279821022721</v>
      </c>
      <c r="AN38" s="179">
        <v>3.0927997905860303</v>
      </c>
      <c r="AO38" s="180">
        <v>3.9556390784724345</v>
      </c>
      <c r="AP38" s="181">
        <v>77.629621353594231</v>
      </c>
      <c r="AQ38" s="178">
        <v>5.6268263166691268</v>
      </c>
      <c r="AR38" s="179">
        <v>3.6529506566625005</v>
      </c>
      <c r="AS38" s="180">
        <v>4.6185821447017963</v>
      </c>
      <c r="AT38" s="181">
        <v>82.08147692455924</v>
      </c>
      <c r="AU38" s="178">
        <v>5.3599613931788292</v>
      </c>
      <c r="AV38" s="179">
        <v>2.5947122307045034</v>
      </c>
      <c r="AW38" s="180">
        <v>3.0447499015774162</v>
      </c>
      <c r="AX38" s="181">
        <v>56.805444633467182</v>
      </c>
      <c r="AY38" s="178">
        <v>5.8038343061570217</v>
      </c>
      <c r="AZ38" s="179">
        <v>3.4759677378906506</v>
      </c>
      <c r="BA38" s="180">
        <v>4.3570378177299247</v>
      </c>
      <c r="BB38" s="181">
        <v>75.071712731491047</v>
      </c>
      <c r="BC38" s="178">
        <v>5.4643608285572958</v>
      </c>
      <c r="BD38" s="179">
        <v>3.5458307171527981</v>
      </c>
      <c r="BE38" s="180">
        <v>4.3616445990483124</v>
      </c>
      <c r="BF38" s="181">
        <v>79.819849674895579</v>
      </c>
      <c r="BG38" s="178">
        <v>5.6279528937802716</v>
      </c>
      <c r="BH38" s="179">
        <v>7.3856879376314781</v>
      </c>
      <c r="BI38" s="180">
        <v>9.2067660796114126</v>
      </c>
      <c r="BJ38" s="181">
        <v>163.58996340900904</v>
      </c>
      <c r="BK38" s="178">
        <v>5.2684597003454225</v>
      </c>
      <c r="BL38" s="179">
        <v>2.6932905056869032</v>
      </c>
      <c r="BM38" s="180">
        <v>3.315515151240394</v>
      </c>
      <c r="BN38" s="181">
        <v>62.931394369838578</v>
      </c>
      <c r="BO38" s="189">
        <v>34.864300626304804</v>
      </c>
      <c r="BP38" s="190">
        <v>6.7754792180679448</v>
      </c>
      <c r="BQ38" s="190">
        <v>5.7316378819510341</v>
      </c>
      <c r="BR38" s="190">
        <v>8.7492882899981019</v>
      </c>
      <c r="BS38" s="190">
        <v>8.3127728221673944</v>
      </c>
      <c r="BT38" s="181">
        <v>35.566521161510721</v>
      </c>
      <c r="BU38" s="189">
        <v>11.451398135818907</v>
      </c>
      <c r="BV38" s="190">
        <v>9.786950732356857</v>
      </c>
      <c r="BW38" s="190">
        <v>17.643142476697736</v>
      </c>
      <c r="BX38" s="190">
        <v>14.513981358189081</v>
      </c>
      <c r="BY38" s="190">
        <v>13.315579227696405</v>
      </c>
      <c r="BZ38" s="181">
        <v>33.288948069241016</v>
      </c>
      <c r="CA38" s="189">
        <v>3.9397450753186556</v>
      </c>
      <c r="CB38" s="190">
        <v>11.703360370799537</v>
      </c>
      <c r="CC38" s="190">
        <v>17.033603707995365</v>
      </c>
      <c r="CD38" s="190">
        <v>18.076477404403242</v>
      </c>
      <c r="CE38" s="190">
        <v>15.643105446118192</v>
      </c>
      <c r="CF38" s="181">
        <v>33.603707995365006</v>
      </c>
      <c r="CG38" s="189">
        <v>1.3468013468013467</v>
      </c>
      <c r="CH38" s="190">
        <v>6.3973063973063971</v>
      </c>
      <c r="CI38" s="190">
        <v>21.212121212121211</v>
      </c>
      <c r="CJ38" s="190">
        <v>16.498316498316498</v>
      </c>
      <c r="CK38" s="190">
        <v>18.181818181818183</v>
      </c>
      <c r="CL38" s="181">
        <v>36.363636363636367</v>
      </c>
      <c r="CM38" s="189">
        <v>0.44444444444444442</v>
      </c>
      <c r="CN38" s="190">
        <v>8</v>
      </c>
      <c r="CO38" s="190">
        <v>16.444444444444446</v>
      </c>
      <c r="CP38" s="190">
        <v>18.666666666666668</v>
      </c>
      <c r="CQ38" s="190">
        <v>22.666666666666664</v>
      </c>
      <c r="CR38" s="181">
        <v>33.777777777777779</v>
      </c>
      <c r="CS38" s="189">
        <v>15.626930203829525</v>
      </c>
      <c r="CT38" s="190">
        <v>5.8678196417541688</v>
      </c>
      <c r="CU38" s="190">
        <v>9.2032118591723293</v>
      </c>
      <c r="CV38" s="190">
        <v>11.8591723285979</v>
      </c>
      <c r="CW38" s="190">
        <v>11.612106238418777</v>
      </c>
      <c r="CX38" s="181">
        <v>45.830759728227299</v>
      </c>
      <c r="CY38" s="189">
        <v>30.337078651685395</v>
      </c>
      <c r="CZ38" s="190">
        <v>8.2022471910112351</v>
      </c>
      <c r="DA38" s="190">
        <v>9.1011235955056176</v>
      </c>
      <c r="DB38" s="190">
        <v>10.674157303370785</v>
      </c>
      <c r="DC38" s="190">
        <v>9.1011235955056176</v>
      </c>
      <c r="DD38" s="181">
        <v>32.584269662921351</v>
      </c>
      <c r="DE38" s="189">
        <v>26.390532544378697</v>
      </c>
      <c r="DF38" s="190">
        <v>8.9546351084812628</v>
      </c>
      <c r="DG38" s="190">
        <v>10.76923076923077</v>
      </c>
      <c r="DH38" s="190">
        <v>12.307692307692308</v>
      </c>
      <c r="DI38" s="190">
        <v>10.532544378698224</v>
      </c>
      <c r="DJ38" s="181">
        <v>31.045364891518741</v>
      </c>
      <c r="DK38" s="189">
        <v>45.070422535211272</v>
      </c>
      <c r="DL38" s="190">
        <v>10.328638497652582</v>
      </c>
      <c r="DM38" s="190">
        <v>10.328638497652582</v>
      </c>
      <c r="DN38" s="190">
        <v>9.3896713615023462</v>
      </c>
      <c r="DO38" s="190">
        <v>7.042253521126761</v>
      </c>
      <c r="DP38" s="181">
        <v>17.84037558685446</v>
      </c>
      <c r="DQ38" s="189">
        <v>33.333333333333329</v>
      </c>
      <c r="DR38" s="190">
        <v>9.1397849462365599</v>
      </c>
      <c r="DS38" s="190">
        <v>10.75268817204301</v>
      </c>
      <c r="DT38" s="190">
        <v>10.21505376344086</v>
      </c>
      <c r="DU38" s="190">
        <v>16.129032258064516</v>
      </c>
      <c r="DV38" s="181">
        <v>20.43010752688172</v>
      </c>
      <c r="DW38" s="189">
        <v>33.582089552238806</v>
      </c>
      <c r="DX38" s="190">
        <v>8.2089552238805972</v>
      </c>
      <c r="DY38" s="190">
        <v>10.820895522388058</v>
      </c>
      <c r="DZ38" s="190">
        <v>9.2350746268656714</v>
      </c>
      <c r="EA38" s="190">
        <v>11.194029850746269</v>
      </c>
      <c r="EB38" s="181">
        <v>26.958955223880597</v>
      </c>
      <c r="EC38" s="189">
        <v>16.766467065868262</v>
      </c>
      <c r="ED38" s="190">
        <v>7.356715141146279</v>
      </c>
      <c r="EE38" s="190">
        <v>8.8964927288280577</v>
      </c>
      <c r="EF38" s="190">
        <v>12.318220701454234</v>
      </c>
      <c r="EG38" s="190">
        <v>11.035072711719419</v>
      </c>
      <c r="EH38" s="181">
        <v>43.627031650983746</v>
      </c>
      <c r="EI38" s="189">
        <v>32.360097323600975</v>
      </c>
      <c r="EJ38" s="190">
        <v>7.5425790754257909</v>
      </c>
      <c r="EK38" s="190">
        <v>11.192214111922141</v>
      </c>
      <c r="EL38" s="190">
        <v>9.4890510948905096</v>
      </c>
      <c r="EM38" s="190">
        <v>9.9756690997566917</v>
      </c>
      <c r="EN38" s="207">
        <v>29.440389294403889</v>
      </c>
    </row>
    <row r="39" spans="1:144" ht="12" customHeight="1" x14ac:dyDescent="0.2">
      <c r="A39" s="81" t="s">
        <v>33</v>
      </c>
      <c r="B39" s="56">
        <v>7795</v>
      </c>
      <c r="C39" s="54">
        <v>874903.02040196559</v>
      </c>
      <c r="D39" s="54">
        <v>48648</v>
      </c>
      <c r="E39" s="94">
        <v>47003</v>
      </c>
      <c r="F39" s="94">
        <v>32153.248742817446</v>
      </c>
      <c r="G39" s="126">
        <v>41341.722440773621</v>
      </c>
      <c r="H39" s="103">
        <v>84.981340323905656</v>
      </c>
      <c r="I39" s="103">
        <v>26.003848620910841</v>
      </c>
      <c r="J39" s="103">
        <v>7.7228992944194994</v>
      </c>
      <c r="K39" s="103">
        <v>9.6856959589480436</v>
      </c>
      <c r="L39" s="103">
        <v>12.097498396407953</v>
      </c>
      <c r="M39" s="103">
        <v>10.622193713919179</v>
      </c>
      <c r="N39" s="103">
        <v>33.867864015394481</v>
      </c>
      <c r="O39" s="178">
        <v>4.3634285838292142</v>
      </c>
      <c r="P39" s="179">
        <v>2.922599689775319</v>
      </c>
      <c r="Q39" s="180">
        <v>3.6725922045939177</v>
      </c>
      <c r="R39" s="181">
        <v>84.167579096045642</v>
      </c>
      <c r="S39" s="178">
        <v>5.3531920345271002</v>
      </c>
      <c r="T39" s="179">
        <v>3.6002861284167653</v>
      </c>
      <c r="U39" s="180">
        <v>4.5929308849895332</v>
      </c>
      <c r="V39" s="181">
        <v>85.797984741925518</v>
      </c>
      <c r="W39" s="178">
        <v>5.6817245209025984</v>
      </c>
      <c r="X39" s="179">
        <v>3.5564398007537683</v>
      </c>
      <c r="Y39" s="180">
        <v>4.608132296673439</v>
      </c>
      <c r="Z39" s="181">
        <v>81.104465373505846</v>
      </c>
      <c r="AA39" s="178">
        <v>5.8595512987745035</v>
      </c>
      <c r="AB39" s="179">
        <v>3.9424586120632279</v>
      </c>
      <c r="AC39" s="180">
        <v>5.1158624640700268</v>
      </c>
      <c r="AD39" s="181">
        <v>87.308092432606315</v>
      </c>
      <c r="AE39" s="178">
        <v>5.9747078907168012</v>
      </c>
      <c r="AF39" s="179">
        <v>3.9687739965063988</v>
      </c>
      <c r="AG39" s="180">
        <v>5.1219707705722621</v>
      </c>
      <c r="AH39" s="181">
        <v>85.727551275444313</v>
      </c>
      <c r="AI39" s="178">
        <v>5.6513404137548022</v>
      </c>
      <c r="AJ39" s="179">
        <v>4.1258080481708976</v>
      </c>
      <c r="AK39" s="180">
        <v>5.3377285014685141</v>
      </c>
      <c r="AL39" s="181">
        <v>94.450663217473348</v>
      </c>
      <c r="AM39" s="178">
        <v>5.1684621869735174</v>
      </c>
      <c r="AN39" s="179">
        <v>2.8770983880972363</v>
      </c>
      <c r="AO39" s="180">
        <v>3.7384309013975465</v>
      </c>
      <c r="AP39" s="181">
        <v>72.331590445216165</v>
      </c>
      <c r="AQ39" s="178">
        <v>5.4449514945716464</v>
      </c>
      <c r="AR39" s="179">
        <v>2.7888707027237745</v>
      </c>
      <c r="AS39" s="180">
        <v>3.4960695048711012</v>
      </c>
      <c r="AT39" s="181">
        <v>64.20754176334745</v>
      </c>
      <c r="AU39" s="178">
        <v>5.9163330221161869</v>
      </c>
      <c r="AV39" s="179">
        <v>4.4513669339832225</v>
      </c>
      <c r="AW39" s="180">
        <v>5.9596260477284977</v>
      </c>
      <c r="AX39" s="181">
        <v>100.73175437302928</v>
      </c>
      <c r="AY39" s="178">
        <v>5.6695892922972311</v>
      </c>
      <c r="AZ39" s="179">
        <v>3.6591239232956831</v>
      </c>
      <c r="BA39" s="180">
        <v>4.6258823836156404</v>
      </c>
      <c r="BB39" s="181">
        <v>81.591137296319118</v>
      </c>
      <c r="BC39" s="178">
        <v>5.4498087567799391</v>
      </c>
      <c r="BD39" s="179">
        <v>3.362209416274522</v>
      </c>
      <c r="BE39" s="180">
        <v>4.2580051362375446</v>
      </c>
      <c r="BF39" s="181">
        <v>78.131276275342515</v>
      </c>
      <c r="BG39" s="178">
        <v>5.5972455846965206</v>
      </c>
      <c r="BH39" s="179">
        <v>4.4364213684850551</v>
      </c>
      <c r="BI39" s="180">
        <v>5.6938311632940586</v>
      </c>
      <c r="BJ39" s="181">
        <v>101.72559122404088</v>
      </c>
      <c r="BK39" s="178">
        <v>5.1494033861226525</v>
      </c>
      <c r="BL39" s="179">
        <v>2.5504876403506733</v>
      </c>
      <c r="BM39" s="180">
        <v>3.2039165548471611</v>
      </c>
      <c r="BN39" s="181">
        <v>62.219179866186693</v>
      </c>
      <c r="BO39" s="189">
        <v>36.502580389043274</v>
      </c>
      <c r="BP39" s="190">
        <v>6.1135371179039302</v>
      </c>
      <c r="BQ39" s="190">
        <v>6.2127828503374349</v>
      </c>
      <c r="BR39" s="190">
        <v>8.4954346963080596</v>
      </c>
      <c r="BS39" s="190">
        <v>7.9992060341405322</v>
      </c>
      <c r="BT39" s="181">
        <v>34.676458912266774</v>
      </c>
      <c r="BU39" s="189">
        <v>11.735061195104391</v>
      </c>
      <c r="BV39" s="190">
        <v>9.9352051835853139</v>
      </c>
      <c r="BW39" s="190">
        <v>15.118790496760258</v>
      </c>
      <c r="BX39" s="190">
        <v>17.062634989200866</v>
      </c>
      <c r="BY39" s="190">
        <v>12.670986321094313</v>
      </c>
      <c r="BZ39" s="181">
        <v>33.477321814254864</v>
      </c>
      <c r="CA39" s="189">
        <v>2.7118644067796609</v>
      </c>
      <c r="CB39" s="190">
        <v>12.09039548022599</v>
      </c>
      <c r="CC39" s="190">
        <v>18.192090395480225</v>
      </c>
      <c r="CD39" s="190">
        <v>19.887005649717516</v>
      </c>
      <c r="CE39" s="190">
        <v>16.158192090395477</v>
      </c>
      <c r="CF39" s="181">
        <v>30.960451977401132</v>
      </c>
      <c r="CG39" s="189">
        <v>0.35211267605633806</v>
      </c>
      <c r="CH39" s="190">
        <v>11.267605633802818</v>
      </c>
      <c r="CI39" s="190">
        <v>11.971830985915492</v>
      </c>
      <c r="CJ39" s="190">
        <v>22.535211267605636</v>
      </c>
      <c r="CK39" s="190">
        <v>17.6056338028169</v>
      </c>
      <c r="CL39" s="181">
        <v>36.267605633802816</v>
      </c>
      <c r="CM39" s="189">
        <v>0</v>
      </c>
      <c r="CN39" s="190">
        <v>8.5427135678391952</v>
      </c>
      <c r="CO39" s="190">
        <v>18.592964824120603</v>
      </c>
      <c r="CP39" s="190">
        <v>19.095477386934672</v>
      </c>
      <c r="CQ39" s="190">
        <v>28.140703517587941</v>
      </c>
      <c r="CR39" s="181">
        <v>25.628140703517587</v>
      </c>
      <c r="CS39" s="189">
        <v>17.873051224944319</v>
      </c>
      <c r="CT39" s="190">
        <v>5.2895322939866363</v>
      </c>
      <c r="CU39" s="190">
        <v>9.4097995545657014</v>
      </c>
      <c r="CV39" s="190">
        <v>10.746102449888642</v>
      </c>
      <c r="CW39" s="190">
        <v>12.973273942093542</v>
      </c>
      <c r="CX39" s="181">
        <v>43.70824053452116</v>
      </c>
      <c r="CY39" s="189">
        <v>33.026467203682394</v>
      </c>
      <c r="CZ39" s="190">
        <v>7.59493670886076</v>
      </c>
      <c r="DA39" s="190">
        <v>7.7100115074798623</v>
      </c>
      <c r="DB39" s="190">
        <v>9.7813578826237055</v>
      </c>
      <c r="DC39" s="190">
        <v>10.241657077100115</v>
      </c>
      <c r="DD39" s="181">
        <v>31.645569620253166</v>
      </c>
      <c r="DE39" s="189">
        <v>28.432563791008501</v>
      </c>
      <c r="DF39" s="190">
        <v>8.7484811664641562</v>
      </c>
      <c r="DG39" s="190">
        <v>10.044552450384771</v>
      </c>
      <c r="DH39" s="190">
        <v>13.8922640745241</v>
      </c>
      <c r="DI39" s="190">
        <v>9.7610368570271362</v>
      </c>
      <c r="DJ39" s="181">
        <v>29.121101660591332</v>
      </c>
      <c r="DK39" s="189">
        <v>39.00709219858156</v>
      </c>
      <c r="DL39" s="190">
        <v>12.056737588652481</v>
      </c>
      <c r="DM39" s="190">
        <v>14.184397163120568</v>
      </c>
      <c r="DN39" s="190">
        <v>14.184397163120568</v>
      </c>
      <c r="DO39" s="190">
        <v>4.2553191489361701</v>
      </c>
      <c r="DP39" s="181">
        <v>16.312056737588655</v>
      </c>
      <c r="DQ39" s="189">
        <v>35.537190082644628</v>
      </c>
      <c r="DR39" s="190">
        <v>8.677685950413224</v>
      </c>
      <c r="DS39" s="190">
        <v>7.8512396694214877</v>
      </c>
      <c r="DT39" s="190">
        <v>11.15702479338843</v>
      </c>
      <c r="DU39" s="190">
        <v>12.396694214876034</v>
      </c>
      <c r="DV39" s="181">
        <v>24.380165289256198</v>
      </c>
      <c r="DW39" s="189">
        <v>29.625292740046838</v>
      </c>
      <c r="DX39" s="190">
        <v>9.3676814988290413</v>
      </c>
      <c r="DY39" s="190">
        <v>12.52927400468384</v>
      </c>
      <c r="DZ39" s="190">
        <v>12.295081967213115</v>
      </c>
      <c r="EA39" s="190">
        <v>8.1967213114754092</v>
      </c>
      <c r="EB39" s="181">
        <v>27.985948477751755</v>
      </c>
      <c r="EC39" s="189">
        <v>16.901408450704224</v>
      </c>
      <c r="ED39" s="190">
        <v>7.4178403755868541</v>
      </c>
      <c r="EE39" s="190">
        <v>8.262910798122066</v>
      </c>
      <c r="EF39" s="190">
        <v>12.863849765258218</v>
      </c>
      <c r="EG39" s="190">
        <v>12.488262910798122</v>
      </c>
      <c r="EH39" s="181">
        <v>42.065727699530512</v>
      </c>
      <c r="EI39" s="189">
        <v>41.993957703927492</v>
      </c>
      <c r="EJ39" s="190">
        <v>7.8549848942598182</v>
      </c>
      <c r="EK39" s="190">
        <v>10.574018126888216</v>
      </c>
      <c r="EL39" s="190">
        <v>8.761329305135952</v>
      </c>
      <c r="EM39" s="190">
        <v>7.2507552870090644</v>
      </c>
      <c r="EN39" s="207">
        <v>23.564954682779458</v>
      </c>
    </row>
    <row r="40" spans="1:144" ht="12" customHeight="1" x14ac:dyDescent="0.2">
      <c r="A40" s="81" t="s">
        <v>25</v>
      </c>
      <c r="B40" s="56">
        <v>6661</v>
      </c>
      <c r="C40" s="54">
        <v>671586.21153198252</v>
      </c>
      <c r="D40" s="54">
        <v>36998</v>
      </c>
      <c r="E40" s="94">
        <v>39844</v>
      </c>
      <c r="F40" s="94">
        <v>25741.717678747711</v>
      </c>
      <c r="G40" s="126">
        <v>32516.078882684869</v>
      </c>
      <c r="H40" s="103">
        <v>87.886044874546926</v>
      </c>
      <c r="I40" s="103">
        <v>23.765200420357306</v>
      </c>
      <c r="J40" s="103">
        <v>8.5422609217835159</v>
      </c>
      <c r="K40" s="103">
        <v>10.794175048791473</v>
      </c>
      <c r="L40" s="103">
        <v>13.241255066806787</v>
      </c>
      <c r="M40" s="103">
        <v>11.830055547215133</v>
      </c>
      <c r="N40" s="103">
        <v>31.82705299504579</v>
      </c>
      <c r="O40" s="178">
        <v>4.3621569065926531</v>
      </c>
      <c r="P40" s="179">
        <v>2.9459452787859184</v>
      </c>
      <c r="Q40" s="180">
        <v>3.6475073004759508</v>
      </c>
      <c r="R40" s="181">
        <v>83.617058684050733</v>
      </c>
      <c r="S40" s="178">
        <v>5.3477998100614981</v>
      </c>
      <c r="T40" s="179">
        <v>3.3027068485492377</v>
      </c>
      <c r="U40" s="180">
        <v>4.1676293574880408</v>
      </c>
      <c r="V40" s="181">
        <v>77.931663590827526</v>
      </c>
      <c r="W40" s="178">
        <v>5.6779833044245729</v>
      </c>
      <c r="X40" s="179">
        <v>3.611813284028905</v>
      </c>
      <c r="Y40" s="180">
        <v>4.5486691249669624</v>
      </c>
      <c r="Z40" s="181">
        <v>80.110646352595083</v>
      </c>
      <c r="AA40" s="178">
        <v>5.8538803486892395</v>
      </c>
      <c r="AB40" s="179">
        <v>4.3340009180046959</v>
      </c>
      <c r="AC40" s="180">
        <v>5.4424061896845757</v>
      </c>
      <c r="AD40" s="181">
        <v>92.970916136049851</v>
      </c>
      <c r="AE40" s="178">
        <v>5.968644783280677</v>
      </c>
      <c r="AF40" s="179">
        <v>4.4259581745708738</v>
      </c>
      <c r="AG40" s="180">
        <v>5.65047556531455</v>
      </c>
      <c r="AH40" s="181">
        <v>94.669322274674812</v>
      </c>
      <c r="AI40" s="178">
        <v>5.5782390835114981</v>
      </c>
      <c r="AJ40" s="179">
        <v>4.2354333083097924</v>
      </c>
      <c r="AK40" s="180">
        <v>5.4494069890574215</v>
      </c>
      <c r="AL40" s="181">
        <v>97.690452264140376</v>
      </c>
      <c r="AM40" s="178">
        <v>5.1792803158115008</v>
      </c>
      <c r="AN40" s="179">
        <v>2.977617812387126</v>
      </c>
      <c r="AO40" s="180">
        <v>3.7855715862485608</v>
      </c>
      <c r="AP40" s="181">
        <v>73.090687420254625</v>
      </c>
      <c r="AQ40" s="178">
        <v>5.4066004426551917</v>
      </c>
      <c r="AR40" s="179">
        <v>3.1417424239379694</v>
      </c>
      <c r="AS40" s="180">
        <v>3.9430446558753447</v>
      </c>
      <c r="AT40" s="181">
        <v>72.930202586579668</v>
      </c>
      <c r="AU40" s="178">
        <v>5.549235272954105</v>
      </c>
      <c r="AV40" s="179">
        <v>2.1020480892336266</v>
      </c>
      <c r="AW40" s="180">
        <v>2.4662715662560091</v>
      </c>
      <c r="AX40" s="181">
        <v>44.443449321317082</v>
      </c>
      <c r="AY40" s="178">
        <v>5.9069202852293108</v>
      </c>
      <c r="AZ40" s="179">
        <v>3.8542229865837094</v>
      </c>
      <c r="BA40" s="180">
        <v>4.9850863259095988</v>
      </c>
      <c r="BB40" s="181">
        <v>84.394000345242077</v>
      </c>
      <c r="BC40" s="178">
        <v>5.2663216062020881</v>
      </c>
      <c r="BD40" s="179">
        <v>3.2608284412114905</v>
      </c>
      <c r="BE40" s="180">
        <v>3.9435673006113809</v>
      </c>
      <c r="BF40" s="181">
        <v>74.882766293024829</v>
      </c>
      <c r="BG40" s="178">
        <v>5.4978340907125975</v>
      </c>
      <c r="BH40" s="179">
        <v>5.8998548598961555</v>
      </c>
      <c r="BI40" s="180">
        <v>7.3234301310983492</v>
      </c>
      <c r="BJ40" s="181">
        <v>133.20573175297707</v>
      </c>
      <c r="BK40" s="178">
        <v>5.3300298846498384</v>
      </c>
      <c r="BL40" s="179">
        <v>2.2990143639921365</v>
      </c>
      <c r="BM40" s="180">
        <v>2.8923499746334369</v>
      </c>
      <c r="BN40" s="181">
        <v>54.265173689986781</v>
      </c>
      <c r="BO40" s="189">
        <v>33.902380379899014</v>
      </c>
      <c r="BP40" s="190">
        <v>7.4537148352969469</v>
      </c>
      <c r="BQ40" s="190">
        <v>6.7564318345756185</v>
      </c>
      <c r="BR40" s="190">
        <v>9.1127674921856219</v>
      </c>
      <c r="BS40" s="190">
        <v>8.7040153883144988</v>
      </c>
      <c r="BT40" s="181">
        <v>34.0706900697283</v>
      </c>
      <c r="BU40" s="189">
        <v>11.326609775019394</v>
      </c>
      <c r="BV40" s="190">
        <v>11.249030256012412</v>
      </c>
      <c r="BW40" s="190">
        <v>16.989914662529092</v>
      </c>
      <c r="BX40" s="190">
        <v>16.757176105508144</v>
      </c>
      <c r="BY40" s="190">
        <v>13.809154383242825</v>
      </c>
      <c r="BZ40" s="181">
        <v>29.868114817688131</v>
      </c>
      <c r="CA40" s="189">
        <v>3.25</v>
      </c>
      <c r="CB40" s="190">
        <v>11.625</v>
      </c>
      <c r="CC40" s="190">
        <v>17.5</v>
      </c>
      <c r="CD40" s="190">
        <v>23.125</v>
      </c>
      <c r="CE40" s="190">
        <v>19.25</v>
      </c>
      <c r="CF40" s="181">
        <v>25.25</v>
      </c>
      <c r="CG40" s="189">
        <v>0.38022813688212925</v>
      </c>
      <c r="CH40" s="190">
        <v>6.083650190114068</v>
      </c>
      <c r="CI40" s="190">
        <v>20.532319391634982</v>
      </c>
      <c r="CJ40" s="190">
        <v>21.673003802281368</v>
      </c>
      <c r="CK40" s="190">
        <v>24.334600760456272</v>
      </c>
      <c r="CL40" s="181">
        <v>26.996197718631176</v>
      </c>
      <c r="CM40" s="189">
        <v>0</v>
      </c>
      <c r="CN40" s="190">
        <v>3.3333333333333335</v>
      </c>
      <c r="CO40" s="190">
        <v>16.666666666666664</v>
      </c>
      <c r="CP40" s="190">
        <v>30</v>
      </c>
      <c r="CQ40" s="190">
        <v>20</v>
      </c>
      <c r="CR40" s="181">
        <v>30</v>
      </c>
      <c r="CS40" s="189">
        <v>13.8671875</v>
      </c>
      <c r="CT40" s="190">
        <v>7.356770833333333</v>
      </c>
      <c r="CU40" s="190">
        <v>8.9192708333333321</v>
      </c>
      <c r="CV40" s="190">
        <v>14.778645833333334</v>
      </c>
      <c r="CW40" s="190">
        <v>14.778645833333334</v>
      </c>
      <c r="CX40" s="181">
        <v>40.299479166666671</v>
      </c>
      <c r="CY40" s="189">
        <v>27.246376811594203</v>
      </c>
      <c r="CZ40" s="190">
        <v>8.8405797101449277</v>
      </c>
      <c r="DA40" s="190">
        <v>10.579710144927535</v>
      </c>
      <c r="DB40" s="190">
        <v>9.7101449275362324</v>
      </c>
      <c r="DC40" s="190">
        <v>11.014492753623188</v>
      </c>
      <c r="DD40" s="181">
        <v>32.608695652173914</v>
      </c>
      <c r="DE40" s="189">
        <v>25.22763792179968</v>
      </c>
      <c r="DF40" s="190">
        <v>8.7841456882699518</v>
      </c>
      <c r="DG40" s="190">
        <v>10.87305838243171</v>
      </c>
      <c r="DH40" s="190">
        <v>14.622388859132299</v>
      </c>
      <c r="DI40" s="190">
        <v>12.426352437064809</v>
      </c>
      <c r="DJ40" s="181">
        <v>28.066416711301549</v>
      </c>
      <c r="DK40" s="189">
        <v>40.425531914893611</v>
      </c>
      <c r="DL40" s="190">
        <v>11.702127659574469</v>
      </c>
      <c r="DM40" s="190">
        <v>14.893617021276595</v>
      </c>
      <c r="DN40" s="190">
        <v>13.829787234042554</v>
      </c>
      <c r="DO40" s="190">
        <v>5.8510638297872344</v>
      </c>
      <c r="DP40" s="181">
        <v>13.297872340425531</v>
      </c>
      <c r="DQ40" s="189">
        <v>26.256983240223462</v>
      </c>
      <c r="DR40" s="190">
        <v>10.614525139664805</v>
      </c>
      <c r="DS40" s="190">
        <v>13.407821229050279</v>
      </c>
      <c r="DT40" s="190">
        <v>13.966480446927374</v>
      </c>
      <c r="DU40" s="190">
        <v>11.731843575418994</v>
      </c>
      <c r="DV40" s="181">
        <v>24.022346368715084</v>
      </c>
      <c r="DW40" s="189">
        <v>34.146341463414636</v>
      </c>
      <c r="DX40" s="190">
        <v>9.7560975609756095</v>
      </c>
      <c r="DY40" s="190">
        <v>12.937433722163307</v>
      </c>
      <c r="DZ40" s="190">
        <v>9.8621420996818667</v>
      </c>
      <c r="EA40" s="190">
        <v>9.2258748674443272</v>
      </c>
      <c r="EB40" s="181">
        <v>24.072110286320257</v>
      </c>
      <c r="EC40" s="189">
        <v>14.705882352941178</v>
      </c>
      <c r="ED40" s="190">
        <v>6.9411764705882355</v>
      </c>
      <c r="EE40" s="190">
        <v>10</v>
      </c>
      <c r="EF40" s="190">
        <v>14.705882352941178</v>
      </c>
      <c r="EG40" s="190">
        <v>11.882352941176471</v>
      </c>
      <c r="EH40" s="181">
        <v>41.764705882352942</v>
      </c>
      <c r="EI40" s="189">
        <v>36.657681940700812</v>
      </c>
      <c r="EJ40" s="190">
        <v>9.1644204851752029</v>
      </c>
      <c r="EK40" s="190">
        <v>12.129380053908356</v>
      </c>
      <c r="EL40" s="190">
        <v>11.590296495956872</v>
      </c>
      <c r="EM40" s="190">
        <v>8.0862533692722369</v>
      </c>
      <c r="EN40" s="207">
        <v>22.371967654986523</v>
      </c>
    </row>
    <row r="41" spans="1:144" ht="12" customHeight="1" x14ac:dyDescent="0.2">
      <c r="A41" s="81" t="s">
        <v>26</v>
      </c>
      <c r="B41" s="56">
        <v>5315</v>
      </c>
      <c r="C41" s="54">
        <v>480773.84741607058</v>
      </c>
      <c r="D41" s="54">
        <v>26246</v>
      </c>
      <c r="E41" s="94">
        <v>30624</v>
      </c>
      <c r="F41" s="94">
        <v>19550.803682537658</v>
      </c>
      <c r="G41" s="126">
        <v>24828.343822264636</v>
      </c>
      <c r="H41" s="103">
        <v>94.598581963974084</v>
      </c>
      <c r="I41" s="103">
        <v>22.5964252116651</v>
      </c>
      <c r="J41" s="103">
        <v>7.7516462841015983</v>
      </c>
      <c r="K41" s="103">
        <v>9.6142991533396049</v>
      </c>
      <c r="L41" s="103">
        <v>12.248353715898402</v>
      </c>
      <c r="M41" s="103">
        <v>11.194731890874882</v>
      </c>
      <c r="N41" s="103">
        <v>36.594543744120415</v>
      </c>
      <c r="O41" s="178">
        <v>4.3948314934918509</v>
      </c>
      <c r="P41" s="179">
        <v>3.2849959426696391</v>
      </c>
      <c r="Q41" s="180">
        <v>4.0690627308677367</v>
      </c>
      <c r="R41" s="181">
        <v>92.587457264140099</v>
      </c>
      <c r="S41" s="178">
        <v>5.3392912090369746</v>
      </c>
      <c r="T41" s="179">
        <v>3.8671796256191717</v>
      </c>
      <c r="U41" s="180">
        <v>4.8794846451496188</v>
      </c>
      <c r="V41" s="181">
        <v>91.388247130834259</v>
      </c>
      <c r="W41" s="178">
        <v>5.6939562268621318</v>
      </c>
      <c r="X41" s="179">
        <v>4.7151248247979414</v>
      </c>
      <c r="Y41" s="180">
        <v>5.9862032265325276</v>
      </c>
      <c r="Z41" s="181">
        <v>105.13258247915</v>
      </c>
      <c r="AA41" s="178">
        <v>5.8523404975852111</v>
      </c>
      <c r="AB41" s="179">
        <v>4.069991001401096</v>
      </c>
      <c r="AC41" s="180">
        <v>5.2703627282637378</v>
      </c>
      <c r="AD41" s="181">
        <v>90.055640652460184</v>
      </c>
      <c r="AE41" s="178">
        <v>5.9532352807326161</v>
      </c>
      <c r="AF41" s="179">
        <v>4.3062474299774216</v>
      </c>
      <c r="AG41" s="180">
        <v>5.5117007461427097</v>
      </c>
      <c r="AH41" s="181">
        <v>92.58328431905062</v>
      </c>
      <c r="AI41" s="178">
        <v>5.5740268011399587</v>
      </c>
      <c r="AJ41" s="179">
        <v>4.5462626290383907</v>
      </c>
      <c r="AK41" s="180">
        <v>5.9164101075083604</v>
      </c>
      <c r="AL41" s="181">
        <v>106.14247685889096</v>
      </c>
      <c r="AM41" s="178">
        <v>4.9609720344141284</v>
      </c>
      <c r="AN41" s="179">
        <v>2.9579750892801822</v>
      </c>
      <c r="AO41" s="180">
        <v>3.6643500667649924</v>
      </c>
      <c r="AP41" s="181">
        <v>73.863550153991909</v>
      </c>
      <c r="AQ41" s="178">
        <v>5.3875902432181997</v>
      </c>
      <c r="AR41" s="179">
        <v>3.379042159444186</v>
      </c>
      <c r="AS41" s="180">
        <v>4.2697859071367503</v>
      </c>
      <c r="AT41" s="181">
        <v>79.252239208642109</v>
      </c>
      <c r="AU41" s="178">
        <v>5.3358296733083597</v>
      </c>
      <c r="AV41" s="179">
        <v>1.4538499628500863</v>
      </c>
      <c r="AW41" s="180">
        <v>1.7252630191968963</v>
      </c>
      <c r="AX41" s="181">
        <v>32.333547448623598</v>
      </c>
      <c r="AY41" s="178">
        <v>5.7777626186134095</v>
      </c>
      <c r="AZ41" s="179">
        <v>4.3512773633309934</v>
      </c>
      <c r="BA41" s="180">
        <v>5.3920522294121955</v>
      </c>
      <c r="BB41" s="181">
        <v>93.324225748586059</v>
      </c>
      <c r="BC41" s="178">
        <v>5.4405779843885496</v>
      </c>
      <c r="BD41" s="179">
        <v>3.8749641120493559</v>
      </c>
      <c r="BE41" s="180">
        <v>4.8230090367242937</v>
      </c>
      <c r="BF41" s="181">
        <v>88.648835667160057</v>
      </c>
      <c r="BG41" s="178">
        <v>5.5171941653103271</v>
      </c>
      <c r="BH41" s="179">
        <v>5.7054408003097992</v>
      </c>
      <c r="BI41" s="180">
        <v>7.2422731648941072</v>
      </c>
      <c r="BJ41" s="181">
        <v>131.26732443875756</v>
      </c>
      <c r="BK41" s="178">
        <v>5.4107378938598574</v>
      </c>
      <c r="BL41" s="179">
        <v>3.4601948996399075</v>
      </c>
      <c r="BM41" s="180">
        <v>4.4167571560735199</v>
      </c>
      <c r="BN41" s="181">
        <v>81.629479060253246</v>
      </c>
      <c r="BO41" s="189">
        <v>32.83979863784424</v>
      </c>
      <c r="BP41" s="190">
        <v>7.5510808409831212</v>
      </c>
      <c r="BQ41" s="190">
        <v>6.2481492448919163</v>
      </c>
      <c r="BR41" s="190">
        <v>8.9724607639917089</v>
      </c>
      <c r="BS41" s="190">
        <v>7.4326325140657383</v>
      </c>
      <c r="BT41" s="181">
        <v>36.955877998223272</v>
      </c>
      <c r="BU41" s="189">
        <v>7.8842315369261478</v>
      </c>
      <c r="BV41" s="190">
        <v>8.8822355289421164</v>
      </c>
      <c r="BW41" s="190">
        <v>15.369261477045908</v>
      </c>
      <c r="BX41" s="190">
        <v>15.968063872255488</v>
      </c>
      <c r="BY41" s="190">
        <v>14.870259481037923</v>
      </c>
      <c r="BZ41" s="181">
        <v>37.025948103792416</v>
      </c>
      <c r="CA41" s="189">
        <v>2.1311475409836063</v>
      </c>
      <c r="CB41" s="190">
        <v>8.1967213114754092</v>
      </c>
      <c r="CC41" s="190">
        <v>16.721311475409838</v>
      </c>
      <c r="CD41" s="190">
        <v>19.508196721311474</v>
      </c>
      <c r="CE41" s="190">
        <v>19.016393442622949</v>
      </c>
      <c r="CF41" s="181">
        <v>34.42622950819672</v>
      </c>
      <c r="CG41" s="189">
        <v>0</v>
      </c>
      <c r="CH41" s="190">
        <v>4.1025641025641022</v>
      </c>
      <c r="CI41" s="190">
        <v>14.871794871794872</v>
      </c>
      <c r="CJ41" s="190">
        <v>22.051282051282051</v>
      </c>
      <c r="CK41" s="190">
        <v>23.076923076923077</v>
      </c>
      <c r="CL41" s="181">
        <v>35.897435897435898</v>
      </c>
      <c r="CM41" s="189">
        <v>0</v>
      </c>
      <c r="CN41" s="190">
        <v>7.6335877862595423</v>
      </c>
      <c r="CO41" s="190">
        <v>11.450381679389313</v>
      </c>
      <c r="CP41" s="190">
        <v>19.847328244274809</v>
      </c>
      <c r="CQ41" s="190">
        <v>25.954198473282442</v>
      </c>
      <c r="CR41" s="181">
        <v>35.114503816793892</v>
      </c>
      <c r="CS41" s="189">
        <v>16.353383458646618</v>
      </c>
      <c r="CT41" s="190">
        <v>5.7330827067669166</v>
      </c>
      <c r="CU41" s="190">
        <v>9.1165413533834592</v>
      </c>
      <c r="CV41" s="190">
        <v>11.74812030075188</v>
      </c>
      <c r="CW41" s="190">
        <v>14.3796992481203</v>
      </c>
      <c r="CX41" s="181">
        <v>42.669172932330831</v>
      </c>
      <c r="CY41" s="189">
        <v>26.536731634182907</v>
      </c>
      <c r="CZ41" s="190">
        <v>9.8950524737631191</v>
      </c>
      <c r="DA41" s="190">
        <v>8.3958020989505258</v>
      </c>
      <c r="DB41" s="190">
        <v>11.244377811094452</v>
      </c>
      <c r="DC41" s="190">
        <v>9.2953523238380811</v>
      </c>
      <c r="DD41" s="181">
        <v>34.632683658170919</v>
      </c>
      <c r="DE41" s="189">
        <v>22.621184919210055</v>
      </c>
      <c r="DF41" s="190">
        <v>7.8994614003590664</v>
      </c>
      <c r="DG41" s="190">
        <v>10.412926391382406</v>
      </c>
      <c r="DH41" s="190">
        <v>13.10592459605027</v>
      </c>
      <c r="DI41" s="190">
        <v>10.59245960502693</v>
      </c>
      <c r="DJ41" s="181">
        <v>35.368043087971273</v>
      </c>
      <c r="DK41" s="189">
        <v>45.522388059701491</v>
      </c>
      <c r="DL41" s="190">
        <v>11.194029850746269</v>
      </c>
      <c r="DM41" s="190">
        <v>8.9552238805970141</v>
      </c>
      <c r="DN41" s="190">
        <v>13.432835820895523</v>
      </c>
      <c r="DO41" s="190">
        <v>7.4626865671641784</v>
      </c>
      <c r="DP41" s="181">
        <v>13.432835820895523</v>
      </c>
      <c r="DQ41" s="189">
        <v>32.31707317073171</v>
      </c>
      <c r="DR41" s="190">
        <v>9.1463414634146343</v>
      </c>
      <c r="DS41" s="190">
        <v>10.365853658536585</v>
      </c>
      <c r="DT41" s="190">
        <v>10.975609756097562</v>
      </c>
      <c r="DU41" s="190">
        <v>7.9268292682926829</v>
      </c>
      <c r="DV41" s="181">
        <v>29.268292682926827</v>
      </c>
      <c r="DW41" s="189">
        <v>27.629513343799054</v>
      </c>
      <c r="DX41" s="190">
        <v>9.7331240188383052</v>
      </c>
      <c r="DY41" s="190">
        <v>11.616954474097332</v>
      </c>
      <c r="DZ41" s="190">
        <v>11.616954474097332</v>
      </c>
      <c r="EA41" s="190">
        <v>12.401883830455258</v>
      </c>
      <c r="EB41" s="181">
        <v>27.001569858712713</v>
      </c>
      <c r="EC41" s="189">
        <v>12.917933130699089</v>
      </c>
      <c r="ED41" s="190">
        <v>6.231003039513678</v>
      </c>
      <c r="EE41" s="190">
        <v>8.2066869300911858</v>
      </c>
      <c r="EF41" s="190">
        <v>12.76595744680851</v>
      </c>
      <c r="EG41" s="190">
        <v>12.158054711246201</v>
      </c>
      <c r="EH41" s="181">
        <v>47.720364741641333</v>
      </c>
      <c r="EI41" s="189">
        <v>33.450704225352112</v>
      </c>
      <c r="EJ41" s="190">
        <v>5.9859154929577461</v>
      </c>
      <c r="EK41" s="190">
        <v>8.0985915492957758</v>
      </c>
      <c r="EL41" s="190">
        <v>11.971830985915492</v>
      </c>
      <c r="EM41" s="190">
        <v>5.9859154929577461</v>
      </c>
      <c r="EN41" s="207">
        <v>34.507042253521128</v>
      </c>
    </row>
    <row r="42" spans="1:144" ht="12" customHeight="1" x14ac:dyDescent="0.2">
      <c r="A42" s="81" t="s">
        <v>35</v>
      </c>
      <c r="B42" s="56">
        <v>9050</v>
      </c>
      <c r="C42" s="54">
        <v>767708.12774278584</v>
      </c>
      <c r="D42" s="54">
        <v>41644</v>
      </c>
      <c r="E42" s="94">
        <v>47022</v>
      </c>
      <c r="F42" s="94">
        <v>31143.082000507831</v>
      </c>
      <c r="G42" s="126">
        <v>39671.927861420132</v>
      </c>
      <c r="H42" s="103">
        <v>95.264450728604672</v>
      </c>
      <c r="I42" s="103">
        <v>23.259668508287294</v>
      </c>
      <c r="J42" s="103">
        <v>7.3370165745856353</v>
      </c>
      <c r="K42" s="103">
        <v>8.8729281767955808</v>
      </c>
      <c r="L42" s="103">
        <v>11.535911602209945</v>
      </c>
      <c r="M42" s="103">
        <v>11.171270718232044</v>
      </c>
      <c r="N42" s="103">
        <v>37.8232044198895</v>
      </c>
      <c r="O42" s="178">
        <v>4.3933602153392126</v>
      </c>
      <c r="P42" s="179">
        <v>3.294295662149104</v>
      </c>
      <c r="Q42" s="180">
        <v>4.1425256458791493</v>
      </c>
      <c r="R42" s="181">
        <v>94.290598604132526</v>
      </c>
      <c r="S42" s="178">
        <v>5.3315185305687782</v>
      </c>
      <c r="T42" s="179">
        <v>4.0033736701168152</v>
      </c>
      <c r="U42" s="180">
        <v>5.073478557442149</v>
      </c>
      <c r="V42" s="181">
        <v>95.160103605621345</v>
      </c>
      <c r="W42" s="178">
        <v>5.6853849189540977</v>
      </c>
      <c r="X42" s="179">
        <v>4.1315017980756812</v>
      </c>
      <c r="Y42" s="180">
        <v>5.2832382152976871</v>
      </c>
      <c r="Z42" s="181">
        <v>92.926658275753269</v>
      </c>
      <c r="AA42" s="178">
        <v>5.8565581916387996</v>
      </c>
      <c r="AB42" s="179">
        <v>4.5326481928014983</v>
      </c>
      <c r="AC42" s="180">
        <v>5.7843529722235667</v>
      </c>
      <c r="AD42" s="181">
        <v>98.767104892455123</v>
      </c>
      <c r="AE42" s="178">
        <v>5.9677297157534452</v>
      </c>
      <c r="AF42" s="179">
        <v>4.4540652348869445</v>
      </c>
      <c r="AG42" s="180">
        <v>5.7132013451134425</v>
      </c>
      <c r="AH42" s="181">
        <v>95.73492127218654</v>
      </c>
      <c r="AI42" s="178">
        <v>5.443446869864828</v>
      </c>
      <c r="AJ42" s="179">
        <v>4.7169670159290469</v>
      </c>
      <c r="AK42" s="180">
        <v>6.1400554705374635</v>
      </c>
      <c r="AL42" s="181">
        <v>112.79719665363308</v>
      </c>
      <c r="AM42" s="178">
        <v>5.1291419473909929</v>
      </c>
      <c r="AN42" s="179">
        <v>3.1553606860362691</v>
      </c>
      <c r="AO42" s="180">
        <v>3.9911057127418208</v>
      </c>
      <c r="AP42" s="181">
        <v>77.812346659112251</v>
      </c>
      <c r="AQ42" s="178">
        <v>5.3256360145970119</v>
      </c>
      <c r="AR42" s="179">
        <v>3.4664682861794747</v>
      </c>
      <c r="AS42" s="180">
        <v>4.4017701467634653</v>
      </c>
      <c r="AT42" s="181">
        <v>82.652478214783613</v>
      </c>
      <c r="AU42" s="178">
        <v>5.418411043130809</v>
      </c>
      <c r="AV42" s="179">
        <v>4.8833818209604791</v>
      </c>
      <c r="AW42" s="180">
        <v>5.9667573659528284</v>
      </c>
      <c r="AX42" s="181">
        <v>110.12005767848095</v>
      </c>
      <c r="AY42" s="178">
        <v>5.8855434999087883</v>
      </c>
      <c r="AZ42" s="179">
        <v>4.3786499007787372</v>
      </c>
      <c r="BA42" s="180">
        <v>5.5556825011311801</v>
      </c>
      <c r="BB42" s="181">
        <v>94.395402926123651</v>
      </c>
      <c r="BC42" s="178">
        <v>5.2631941766422896</v>
      </c>
      <c r="BD42" s="179">
        <v>3.2978545165412543</v>
      </c>
      <c r="BE42" s="180">
        <v>4.0748407239819064</v>
      </c>
      <c r="BF42" s="181">
        <v>77.421440046156405</v>
      </c>
      <c r="BG42" s="178">
        <v>5.4761075129775962</v>
      </c>
      <c r="BH42" s="179">
        <v>4.9456900454804806</v>
      </c>
      <c r="BI42" s="180">
        <v>6.2880271196212423</v>
      </c>
      <c r="BJ42" s="181">
        <v>114.82658265418478</v>
      </c>
      <c r="BK42" s="178">
        <v>5.1743750343488371</v>
      </c>
      <c r="BL42" s="179">
        <v>2.9781608394103736</v>
      </c>
      <c r="BM42" s="180">
        <v>3.818588804099333</v>
      </c>
      <c r="BN42" s="181">
        <v>73.798067955077755</v>
      </c>
      <c r="BO42" s="189">
        <v>31.306892067620286</v>
      </c>
      <c r="BP42" s="190">
        <v>7.087126137841353</v>
      </c>
      <c r="BQ42" s="190">
        <v>6.11183355006502</v>
      </c>
      <c r="BR42" s="190">
        <v>8.6150845253576058</v>
      </c>
      <c r="BS42" s="190">
        <v>8.8751625487646297</v>
      </c>
      <c r="BT42" s="181">
        <v>38.003901170351106</v>
      </c>
      <c r="BU42" s="189">
        <v>9.1544818817546094</v>
      </c>
      <c r="BV42" s="190">
        <v>9.1544818817546094</v>
      </c>
      <c r="BW42" s="190">
        <v>15.51176096630642</v>
      </c>
      <c r="BX42" s="190">
        <v>16.020343293070567</v>
      </c>
      <c r="BY42" s="190">
        <v>12.523839796567069</v>
      </c>
      <c r="BZ42" s="181">
        <v>37.635092180546728</v>
      </c>
      <c r="CA42" s="189">
        <v>3.4792368125701461</v>
      </c>
      <c r="CB42" s="190">
        <v>7.0707070707070701</v>
      </c>
      <c r="CC42" s="190">
        <v>14.029180695847362</v>
      </c>
      <c r="CD42" s="190">
        <v>19.865319865319865</v>
      </c>
      <c r="CE42" s="190">
        <v>19.19191919191919</v>
      </c>
      <c r="CF42" s="181">
        <v>36.363636363636367</v>
      </c>
      <c r="CG42" s="189">
        <v>1.0526315789473684</v>
      </c>
      <c r="CH42" s="190">
        <v>4.2105263157894735</v>
      </c>
      <c r="CI42" s="190">
        <v>14.736842105263156</v>
      </c>
      <c r="CJ42" s="190">
        <v>18.245614035087719</v>
      </c>
      <c r="CK42" s="190">
        <v>21.754385964912281</v>
      </c>
      <c r="CL42" s="181">
        <v>40</v>
      </c>
      <c r="CM42" s="189">
        <v>0.67114093959731547</v>
      </c>
      <c r="CN42" s="190">
        <v>6.0402684563758395</v>
      </c>
      <c r="CO42" s="190">
        <v>10.738255033557047</v>
      </c>
      <c r="CP42" s="190">
        <v>22.14765100671141</v>
      </c>
      <c r="CQ42" s="190">
        <v>23.48993288590604</v>
      </c>
      <c r="CR42" s="181">
        <v>36.912751677852349</v>
      </c>
      <c r="CS42" s="189">
        <v>16.290130796670628</v>
      </c>
      <c r="CT42" s="190">
        <v>5.5291319857312722</v>
      </c>
      <c r="CU42" s="190">
        <v>7.3127229488703929</v>
      </c>
      <c r="CV42" s="190">
        <v>11.712247324613555</v>
      </c>
      <c r="CW42" s="190">
        <v>11.59334126040428</v>
      </c>
      <c r="CX42" s="181">
        <v>47.562425683709868</v>
      </c>
      <c r="CY42" s="189">
        <v>24.576271186440678</v>
      </c>
      <c r="CZ42" s="190">
        <v>9.2161016949152543</v>
      </c>
      <c r="DA42" s="190">
        <v>8.0508474576271176</v>
      </c>
      <c r="DB42" s="190">
        <v>10.275423728813561</v>
      </c>
      <c r="DC42" s="190">
        <v>10.275423728813561</v>
      </c>
      <c r="DD42" s="181">
        <v>37.605932203389827</v>
      </c>
      <c r="DE42" s="189">
        <v>25.330549756437019</v>
      </c>
      <c r="DF42" s="190">
        <v>7.5504523312456513</v>
      </c>
      <c r="DG42" s="190">
        <v>9.5685455810716782</v>
      </c>
      <c r="DH42" s="190">
        <v>11.86499652052888</v>
      </c>
      <c r="DI42" s="190">
        <v>11.795407098121085</v>
      </c>
      <c r="DJ42" s="181">
        <v>33.890048712595686</v>
      </c>
      <c r="DK42" s="189">
        <v>41.340782122905026</v>
      </c>
      <c r="DL42" s="190">
        <v>9.4972067039106136</v>
      </c>
      <c r="DM42" s="190">
        <v>12.849162011173185</v>
      </c>
      <c r="DN42" s="190">
        <v>10.05586592178771</v>
      </c>
      <c r="DO42" s="190">
        <v>6.1452513966480442</v>
      </c>
      <c r="DP42" s="181">
        <v>20.11173184357542</v>
      </c>
      <c r="DQ42" s="189">
        <v>22.17573221757322</v>
      </c>
      <c r="DR42" s="190">
        <v>8.3682008368200833</v>
      </c>
      <c r="DS42" s="190">
        <v>11.715481171548117</v>
      </c>
      <c r="DT42" s="190">
        <v>12.97071129707113</v>
      </c>
      <c r="DU42" s="190">
        <v>13.389121338912133</v>
      </c>
      <c r="DV42" s="181">
        <v>31.380753138075313</v>
      </c>
      <c r="DW42" s="189">
        <v>32.943294329432945</v>
      </c>
      <c r="DX42" s="190">
        <v>8.5508550855085499</v>
      </c>
      <c r="DY42" s="190">
        <v>10.891089108910892</v>
      </c>
      <c r="DZ42" s="190">
        <v>9.5409540954095409</v>
      </c>
      <c r="EA42" s="190">
        <v>10.441044104410441</v>
      </c>
      <c r="EB42" s="181">
        <v>27.632763276327633</v>
      </c>
      <c r="EC42" s="189">
        <v>13.629737609329446</v>
      </c>
      <c r="ED42" s="190">
        <v>6.6326530612244898</v>
      </c>
      <c r="EE42" s="190">
        <v>7.0699708454810493</v>
      </c>
      <c r="EF42" s="190">
        <v>13.119533527696792</v>
      </c>
      <c r="EG42" s="190">
        <v>12.099125364431487</v>
      </c>
      <c r="EH42" s="181">
        <v>47.448979591836739</v>
      </c>
      <c r="EI42" s="189">
        <v>30</v>
      </c>
      <c r="EJ42" s="190">
        <v>6.721311475409836</v>
      </c>
      <c r="EK42" s="190">
        <v>9.5081967213114744</v>
      </c>
      <c r="EL42" s="190">
        <v>11.475409836065573</v>
      </c>
      <c r="EM42" s="190">
        <v>8.6885245901639347</v>
      </c>
      <c r="EN42" s="207">
        <v>33.606557377049178</v>
      </c>
    </row>
    <row r="43" spans="1:144" ht="12" customHeight="1" x14ac:dyDescent="0.2">
      <c r="A43" s="81" t="s">
        <v>32</v>
      </c>
      <c r="B43" s="56">
        <v>8314</v>
      </c>
      <c r="C43" s="54">
        <v>739442.22314697946</v>
      </c>
      <c r="D43" s="54">
        <v>40271</v>
      </c>
      <c r="E43" s="94">
        <v>43366</v>
      </c>
      <c r="F43" s="94">
        <v>27781.700600471489</v>
      </c>
      <c r="G43" s="126">
        <v>35465.606058286481</v>
      </c>
      <c r="H43" s="103">
        <v>88.067358789914536</v>
      </c>
      <c r="I43" s="103">
        <v>25.2104883329324</v>
      </c>
      <c r="J43" s="103">
        <v>7.6256916045224914</v>
      </c>
      <c r="K43" s="103">
        <v>9.7546307433245136</v>
      </c>
      <c r="L43" s="103">
        <v>10.993504931440944</v>
      </c>
      <c r="M43" s="103">
        <v>11.06567235987491</v>
      </c>
      <c r="N43" s="103">
        <v>35.350012027904739</v>
      </c>
      <c r="O43" s="178">
        <v>4.3798566626778594</v>
      </c>
      <c r="P43" s="179">
        <v>3.1212531149779177</v>
      </c>
      <c r="Q43" s="180">
        <v>3.9246606106387971</v>
      </c>
      <c r="R43" s="181">
        <v>89.607055958750152</v>
      </c>
      <c r="S43" s="178">
        <v>5.3314088039556449</v>
      </c>
      <c r="T43" s="179">
        <v>3.7704533443470836</v>
      </c>
      <c r="U43" s="180">
        <v>4.7998858728137455</v>
      </c>
      <c r="V43" s="181">
        <v>90.030347499378863</v>
      </c>
      <c r="W43" s="178">
        <v>5.6771261159869271</v>
      </c>
      <c r="X43" s="179">
        <v>3.8175682229832835</v>
      </c>
      <c r="Y43" s="180">
        <v>4.8803397338763617</v>
      </c>
      <c r="Z43" s="181">
        <v>85.964969496330269</v>
      </c>
      <c r="AA43" s="178">
        <v>5.8520954675802441</v>
      </c>
      <c r="AB43" s="179">
        <v>3.9650527167190828</v>
      </c>
      <c r="AC43" s="180">
        <v>5.102582796096808</v>
      </c>
      <c r="AD43" s="181">
        <v>87.192405256619153</v>
      </c>
      <c r="AE43" s="178">
        <v>5.9652432179937209</v>
      </c>
      <c r="AF43" s="179">
        <v>4.079353977088811</v>
      </c>
      <c r="AG43" s="180">
        <v>5.2367726742808296</v>
      </c>
      <c r="AH43" s="181">
        <v>87.788083115948851</v>
      </c>
      <c r="AI43" s="178">
        <v>5.5574382473385802</v>
      </c>
      <c r="AJ43" s="179">
        <v>4.2802793851700685</v>
      </c>
      <c r="AK43" s="180">
        <v>5.5392777081296103</v>
      </c>
      <c r="AL43" s="181">
        <v>99.673221034571696</v>
      </c>
      <c r="AM43" s="178">
        <v>5.2201082384433031</v>
      </c>
      <c r="AN43" s="179">
        <v>3.1692157679765458</v>
      </c>
      <c r="AO43" s="180">
        <v>4.0103045505046513</v>
      </c>
      <c r="AP43" s="181">
        <v>76.824164697791218</v>
      </c>
      <c r="AQ43" s="178">
        <v>5.307357226216955</v>
      </c>
      <c r="AR43" s="179">
        <v>3.4850745701711752</v>
      </c>
      <c r="AS43" s="180">
        <v>4.4185441021627359</v>
      </c>
      <c r="AT43" s="181">
        <v>83.253188240962658</v>
      </c>
      <c r="AU43" s="178">
        <v>5.3244559604898356</v>
      </c>
      <c r="AV43" s="179">
        <v>1.9630846866506322</v>
      </c>
      <c r="AW43" s="180">
        <v>2.3480102228146045</v>
      </c>
      <c r="AX43" s="181">
        <v>44.098594114366456</v>
      </c>
      <c r="AY43" s="178">
        <v>5.6849375817540739</v>
      </c>
      <c r="AZ43" s="179">
        <v>4.1582979177929875</v>
      </c>
      <c r="BA43" s="180">
        <v>5.254175319773271</v>
      </c>
      <c r="BB43" s="181">
        <v>92.422744211592686</v>
      </c>
      <c r="BC43" s="178">
        <v>5.5217455954134378</v>
      </c>
      <c r="BD43" s="179">
        <v>3.2882844590818814</v>
      </c>
      <c r="BE43" s="180">
        <v>4.1187240526922926</v>
      </c>
      <c r="BF43" s="181">
        <v>74.590978188373143</v>
      </c>
      <c r="BG43" s="178">
        <v>5.5391603746364746</v>
      </c>
      <c r="BH43" s="179">
        <v>4.4907559281622271</v>
      </c>
      <c r="BI43" s="180">
        <v>5.8067599596234318</v>
      </c>
      <c r="BJ43" s="181">
        <v>104.83104959755781</v>
      </c>
      <c r="BK43" s="178">
        <v>5.1503380508339536</v>
      </c>
      <c r="BL43" s="179">
        <v>2.4935376629956556</v>
      </c>
      <c r="BM43" s="180">
        <v>3.1726131696122302</v>
      </c>
      <c r="BN43" s="181">
        <v>61.600095727668091</v>
      </c>
      <c r="BO43" s="189">
        <v>34.254243409172986</v>
      </c>
      <c r="BP43" s="190">
        <v>6.5908270133622242</v>
      </c>
      <c r="BQ43" s="190">
        <v>6.4463705308775738</v>
      </c>
      <c r="BR43" s="190">
        <v>8.1076200794510651</v>
      </c>
      <c r="BS43" s="190">
        <v>8.2520765619357164</v>
      </c>
      <c r="BT43" s="181">
        <v>36.348862405200435</v>
      </c>
      <c r="BU43" s="189">
        <v>10.828025477707007</v>
      </c>
      <c r="BV43" s="190">
        <v>9.4904458598726116</v>
      </c>
      <c r="BW43" s="190">
        <v>15.222929936305732</v>
      </c>
      <c r="BX43" s="190">
        <v>15.222929936305732</v>
      </c>
      <c r="BY43" s="190">
        <v>14.331210191082802</v>
      </c>
      <c r="BZ43" s="181">
        <v>34.904458598726116</v>
      </c>
      <c r="CA43" s="189">
        <v>3.1367628607277291</v>
      </c>
      <c r="CB43" s="190">
        <v>11.166875784190715</v>
      </c>
      <c r="CC43" s="190">
        <v>18.318695106649937</v>
      </c>
      <c r="CD43" s="190">
        <v>16.687578419071521</v>
      </c>
      <c r="CE43" s="190">
        <v>19.071518193224595</v>
      </c>
      <c r="CF43" s="181">
        <v>31.618569636135508</v>
      </c>
      <c r="CG43" s="189">
        <v>0.84745762711864403</v>
      </c>
      <c r="CH43" s="190">
        <v>6.3559322033898304</v>
      </c>
      <c r="CI43" s="190">
        <v>16.949152542372879</v>
      </c>
      <c r="CJ43" s="190">
        <v>23.305084745762709</v>
      </c>
      <c r="CK43" s="190">
        <v>22.457627118644069</v>
      </c>
      <c r="CL43" s="181">
        <v>30.084745762711862</v>
      </c>
      <c r="CM43" s="189">
        <v>1.1560693641618496</v>
      </c>
      <c r="CN43" s="190">
        <v>9.2485549132947966</v>
      </c>
      <c r="CO43" s="190">
        <v>16.76300578034682</v>
      </c>
      <c r="CP43" s="190">
        <v>21.965317919075144</v>
      </c>
      <c r="CQ43" s="190">
        <v>19.075144508670519</v>
      </c>
      <c r="CR43" s="181">
        <v>31.79190751445087</v>
      </c>
      <c r="CS43" s="189">
        <v>18.539325842696631</v>
      </c>
      <c r="CT43" s="190">
        <v>6.5810593900481535</v>
      </c>
      <c r="CU43" s="190">
        <v>7.7046548956661312</v>
      </c>
      <c r="CV43" s="190">
        <v>10.433386837881219</v>
      </c>
      <c r="CW43" s="190">
        <v>12.118780096308186</v>
      </c>
      <c r="CX43" s="181">
        <v>44.62279293739968</v>
      </c>
      <c r="CY43" s="189">
        <v>27.141133896260556</v>
      </c>
      <c r="CZ43" s="190">
        <v>6.6344993968636912</v>
      </c>
      <c r="DA43" s="190">
        <v>8.5645355850422202</v>
      </c>
      <c r="DB43" s="190">
        <v>10.012062726176115</v>
      </c>
      <c r="DC43" s="190">
        <v>9.6501809408926409</v>
      </c>
      <c r="DD43" s="181">
        <v>37.997587454764776</v>
      </c>
      <c r="DE43" s="189">
        <v>25.188536953242835</v>
      </c>
      <c r="DF43" s="190">
        <v>8.4841628959276019</v>
      </c>
      <c r="DG43" s="190">
        <v>10.030165912518854</v>
      </c>
      <c r="DH43" s="190">
        <v>11.312217194570136</v>
      </c>
      <c r="DI43" s="190">
        <v>11.425339366515837</v>
      </c>
      <c r="DJ43" s="181">
        <v>33.559577677224731</v>
      </c>
      <c r="DK43" s="189">
        <v>39.920948616600796</v>
      </c>
      <c r="DL43" s="190">
        <v>10.671936758893279</v>
      </c>
      <c r="DM43" s="190">
        <v>11.857707509881422</v>
      </c>
      <c r="DN43" s="190">
        <v>11.462450592885375</v>
      </c>
      <c r="DO43" s="190">
        <v>7.1146245059288544</v>
      </c>
      <c r="DP43" s="181">
        <v>18.972332015810274</v>
      </c>
      <c r="DQ43" s="189">
        <v>28.699551569506728</v>
      </c>
      <c r="DR43" s="190">
        <v>6.7264573991031389</v>
      </c>
      <c r="DS43" s="190">
        <v>13.004484304932735</v>
      </c>
      <c r="DT43" s="190">
        <v>13.004484304932735</v>
      </c>
      <c r="DU43" s="190">
        <v>8.5201793721973083</v>
      </c>
      <c r="DV43" s="181">
        <v>30.044843049327351</v>
      </c>
      <c r="DW43" s="189">
        <v>35.464620630861035</v>
      </c>
      <c r="DX43" s="190">
        <v>9.2071611253196934</v>
      </c>
      <c r="DY43" s="190">
        <v>11.253196930946292</v>
      </c>
      <c r="DZ43" s="190">
        <v>10.485933503836318</v>
      </c>
      <c r="EA43" s="190">
        <v>8.5251491901108274</v>
      </c>
      <c r="EB43" s="181">
        <v>25.063938618925828</v>
      </c>
      <c r="EC43" s="189">
        <v>13.101045296167246</v>
      </c>
      <c r="ED43" s="190">
        <v>5.5749128919860631</v>
      </c>
      <c r="EE43" s="190">
        <v>9.7560975609756095</v>
      </c>
      <c r="EF43" s="190">
        <v>12.752613240418118</v>
      </c>
      <c r="EG43" s="190">
        <v>14.843205574912893</v>
      </c>
      <c r="EH43" s="181">
        <v>43.972125435540072</v>
      </c>
      <c r="EI43" s="189">
        <v>41.313559322033896</v>
      </c>
      <c r="EJ43" s="190">
        <v>8.6864406779661021</v>
      </c>
      <c r="EK43" s="190">
        <v>9.1101694915254239</v>
      </c>
      <c r="EL43" s="190">
        <v>6.9915254237288131</v>
      </c>
      <c r="EM43" s="190">
        <v>7.2033898305084749</v>
      </c>
      <c r="EN43" s="207">
        <v>26.694915254237291</v>
      </c>
    </row>
    <row r="44" spans="1:144" ht="12" customHeight="1" x14ac:dyDescent="0.2">
      <c r="A44" s="81" t="s">
        <v>27</v>
      </c>
      <c r="B44" s="56">
        <v>13713</v>
      </c>
      <c r="C44" s="54">
        <v>1243697.8435294318</v>
      </c>
      <c r="D44" s="54">
        <v>67879</v>
      </c>
      <c r="E44" s="94">
        <v>69961</v>
      </c>
      <c r="F44" s="94">
        <v>45604.517940996731</v>
      </c>
      <c r="G44" s="126">
        <v>58362.493532932036</v>
      </c>
      <c r="H44" s="103">
        <v>85.980190534527665</v>
      </c>
      <c r="I44" s="103">
        <v>26.558739881863925</v>
      </c>
      <c r="J44" s="103">
        <v>8.5174651790271998</v>
      </c>
      <c r="K44" s="103">
        <v>10.391599212426165</v>
      </c>
      <c r="L44" s="103">
        <v>11.871946328301613</v>
      </c>
      <c r="M44" s="103">
        <v>10.646831473784001</v>
      </c>
      <c r="N44" s="103">
        <v>32.0134179245971</v>
      </c>
      <c r="O44" s="178">
        <v>4.3755423511743352</v>
      </c>
      <c r="P44" s="179">
        <v>3.0269341805719456</v>
      </c>
      <c r="Q44" s="180">
        <v>3.829851923897106</v>
      </c>
      <c r="R44" s="181">
        <v>87.528621974581654</v>
      </c>
      <c r="S44" s="178">
        <v>5.3344291985327956</v>
      </c>
      <c r="T44" s="179">
        <v>3.4257806279230376</v>
      </c>
      <c r="U44" s="180">
        <v>4.3660262691325489</v>
      </c>
      <c r="V44" s="181">
        <v>81.846175225896687</v>
      </c>
      <c r="W44" s="178">
        <v>5.6826282801968802</v>
      </c>
      <c r="X44" s="179">
        <v>3.3920381732626148</v>
      </c>
      <c r="Y44" s="180">
        <v>4.3663717763534979</v>
      </c>
      <c r="Z44" s="181">
        <v>76.837188023887791</v>
      </c>
      <c r="AA44" s="178">
        <v>5.862800336175833</v>
      </c>
      <c r="AB44" s="179">
        <v>3.6073888445759135</v>
      </c>
      <c r="AC44" s="180">
        <v>4.6432223846432228</v>
      </c>
      <c r="AD44" s="181">
        <v>79.198030265378051</v>
      </c>
      <c r="AE44" s="178">
        <v>5.9629126582685039</v>
      </c>
      <c r="AF44" s="179">
        <v>4.3668486871964829</v>
      </c>
      <c r="AG44" s="180">
        <v>5.6016770086231435</v>
      </c>
      <c r="AH44" s="181">
        <v>93.941959737671965</v>
      </c>
      <c r="AI44" s="178">
        <v>5.5059221254206578</v>
      </c>
      <c r="AJ44" s="179">
        <v>4.0056077380249544</v>
      </c>
      <c r="AK44" s="180">
        <v>5.2588399307017424</v>
      </c>
      <c r="AL44" s="181">
        <v>95.512428452662917</v>
      </c>
      <c r="AM44" s="178">
        <v>5.1815697696102792</v>
      </c>
      <c r="AN44" s="179">
        <v>2.8476009599386702</v>
      </c>
      <c r="AO44" s="180">
        <v>3.6931582482537459</v>
      </c>
      <c r="AP44" s="181">
        <v>71.274891827453274</v>
      </c>
      <c r="AQ44" s="178">
        <v>5.4322389642595619</v>
      </c>
      <c r="AR44" s="179">
        <v>3.3838423182902702</v>
      </c>
      <c r="AS44" s="180">
        <v>4.3276458739500079</v>
      </c>
      <c r="AT44" s="181">
        <v>79.665970190615226</v>
      </c>
      <c r="AU44" s="178">
        <v>5.5264401093099949</v>
      </c>
      <c r="AV44" s="179">
        <v>2.1285721806009952</v>
      </c>
      <c r="AW44" s="180">
        <v>2.5190916611128689</v>
      </c>
      <c r="AX44" s="181">
        <v>45.582537968142219</v>
      </c>
      <c r="AY44" s="178">
        <v>5.7650666502912866</v>
      </c>
      <c r="AZ44" s="179">
        <v>4.9255879450824205</v>
      </c>
      <c r="BA44" s="180">
        <v>6.0236014846343053</v>
      </c>
      <c r="BB44" s="181">
        <v>104.48450729238242</v>
      </c>
      <c r="BC44" s="178">
        <v>5.3486617963585958</v>
      </c>
      <c r="BD44" s="179">
        <v>3.0026330586749905</v>
      </c>
      <c r="BE44" s="180">
        <v>3.7306198508826602</v>
      </c>
      <c r="BF44" s="181">
        <v>69.748658504123242</v>
      </c>
      <c r="BG44" s="178">
        <v>5.5449955274092977</v>
      </c>
      <c r="BH44" s="179">
        <v>4.4987000973061413</v>
      </c>
      <c r="BI44" s="180">
        <v>5.7775857723112782</v>
      </c>
      <c r="BJ44" s="181">
        <v>104.19459752045373</v>
      </c>
      <c r="BK44" s="178">
        <v>5.111235598032307</v>
      </c>
      <c r="BL44" s="179">
        <v>3.1829043350177897</v>
      </c>
      <c r="BM44" s="180">
        <v>4.0778967271889179</v>
      </c>
      <c r="BN44" s="181">
        <v>79.782992761257205</v>
      </c>
      <c r="BO44" s="189">
        <v>36.754893238434164</v>
      </c>
      <c r="BP44" s="190">
        <v>6.6392348754448394</v>
      </c>
      <c r="BQ44" s="190">
        <v>6.6948398576512451</v>
      </c>
      <c r="BR44" s="190">
        <v>8.162811387900355</v>
      </c>
      <c r="BS44" s="190">
        <v>8.062722419928825</v>
      </c>
      <c r="BT44" s="181">
        <v>33.685498220640568</v>
      </c>
      <c r="BU44" s="189">
        <v>11.74577634754626</v>
      </c>
      <c r="BV44" s="190">
        <v>11.866452131938859</v>
      </c>
      <c r="BW44" s="190">
        <v>15.728077232502011</v>
      </c>
      <c r="BX44" s="190">
        <v>17.53821399839099</v>
      </c>
      <c r="BY44" s="190">
        <v>13.475462590506837</v>
      </c>
      <c r="BZ44" s="181">
        <v>29.646017699115045</v>
      </c>
      <c r="CA44" s="189">
        <v>2.5693035835023665</v>
      </c>
      <c r="CB44" s="190">
        <v>14.131169709263016</v>
      </c>
      <c r="CC44" s="190">
        <v>19.202163624070316</v>
      </c>
      <c r="CD44" s="190">
        <v>20.216362407031781</v>
      </c>
      <c r="CE44" s="190">
        <v>16.700473292765384</v>
      </c>
      <c r="CF44" s="181">
        <v>27.180527383367142</v>
      </c>
      <c r="CG44" s="189">
        <v>1.1286681715575622</v>
      </c>
      <c r="CH44" s="190">
        <v>11.512415349887133</v>
      </c>
      <c r="CI44" s="190">
        <v>18.058690744920995</v>
      </c>
      <c r="CJ44" s="190">
        <v>20.767494356659142</v>
      </c>
      <c r="CK44" s="190">
        <v>20.090293453724605</v>
      </c>
      <c r="CL44" s="181">
        <v>28.442437923250562</v>
      </c>
      <c r="CM44" s="189">
        <v>0.63897763578274758</v>
      </c>
      <c r="CN44" s="190">
        <v>5.1118210862619806</v>
      </c>
      <c r="CO44" s="190">
        <v>21.725239616613418</v>
      </c>
      <c r="CP44" s="190">
        <v>21.405750798722046</v>
      </c>
      <c r="CQ44" s="190">
        <v>20.447284345047922</v>
      </c>
      <c r="CR44" s="181">
        <v>30.670926517571885</v>
      </c>
      <c r="CS44" s="189">
        <v>17.460317460317459</v>
      </c>
      <c r="CT44" s="190">
        <v>6.1587301587301591</v>
      </c>
      <c r="CU44" s="190">
        <v>8.5079365079365079</v>
      </c>
      <c r="CV44" s="190">
        <v>13.015873015873018</v>
      </c>
      <c r="CW44" s="190">
        <v>13.079365079365079</v>
      </c>
      <c r="CX44" s="181">
        <v>41.777777777777779</v>
      </c>
      <c r="CY44" s="189">
        <v>31.254429482636425</v>
      </c>
      <c r="CZ44" s="190">
        <v>7.8667611622962443</v>
      </c>
      <c r="DA44" s="190">
        <v>7.7958894401133945</v>
      </c>
      <c r="DB44" s="190">
        <v>9.8511693834160177</v>
      </c>
      <c r="DC44" s="190">
        <v>9.284195605953224</v>
      </c>
      <c r="DD44" s="181">
        <v>33.947554925584697</v>
      </c>
      <c r="DE44" s="189">
        <v>27.99799297541395</v>
      </c>
      <c r="DF44" s="190">
        <v>9.3577521324636237</v>
      </c>
      <c r="DG44" s="190">
        <v>11.189162067235324</v>
      </c>
      <c r="DH44" s="190">
        <v>12.318113396889112</v>
      </c>
      <c r="DI44" s="190">
        <v>10.612142498745609</v>
      </c>
      <c r="DJ44" s="181">
        <v>28.524836929252384</v>
      </c>
      <c r="DK44" s="189">
        <v>47.268907563025209</v>
      </c>
      <c r="DL44" s="190">
        <v>12.815126050420167</v>
      </c>
      <c r="DM44" s="190">
        <v>14.705882352941178</v>
      </c>
      <c r="DN44" s="190">
        <v>7.9831932773109235</v>
      </c>
      <c r="DO44" s="190">
        <v>6.7226890756302522</v>
      </c>
      <c r="DP44" s="181">
        <v>10.504201680672269</v>
      </c>
      <c r="DQ44" s="189">
        <v>30.412371134020617</v>
      </c>
      <c r="DR44" s="190">
        <v>7.9896907216494837</v>
      </c>
      <c r="DS44" s="190">
        <v>13.144329896907218</v>
      </c>
      <c r="DT44" s="190">
        <v>12.886597938144329</v>
      </c>
      <c r="DU44" s="190">
        <v>10.051546391752577</v>
      </c>
      <c r="DV44" s="181">
        <v>25.515463917525771</v>
      </c>
      <c r="DW44" s="189">
        <v>35.014836795252222</v>
      </c>
      <c r="DX44" s="190">
        <v>11.275964391691394</v>
      </c>
      <c r="DY44" s="190">
        <v>12.21562809099901</v>
      </c>
      <c r="DZ44" s="190">
        <v>11.424332344213649</v>
      </c>
      <c r="EA44" s="190">
        <v>7.8140454995054398</v>
      </c>
      <c r="EB44" s="181">
        <v>22.255192878338278</v>
      </c>
      <c r="EC44" s="189">
        <v>15.268557634278817</v>
      </c>
      <c r="ED44" s="190">
        <v>7.1816535908267944</v>
      </c>
      <c r="EE44" s="190">
        <v>10.8026554013277</v>
      </c>
      <c r="EF44" s="190">
        <v>12.673506336753167</v>
      </c>
      <c r="EG44" s="190">
        <v>13.458056729028364</v>
      </c>
      <c r="EH44" s="181">
        <v>40.615570307785156</v>
      </c>
      <c r="EI44" s="189">
        <v>38.070175438596493</v>
      </c>
      <c r="EJ44" s="190">
        <v>8.0701754385964914</v>
      </c>
      <c r="EK44" s="190">
        <v>8.9473684210526319</v>
      </c>
      <c r="EL44" s="190">
        <v>9.8245614035087723</v>
      </c>
      <c r="EM44" s="190">
        <v>6.140350877192982</v>
      </c>
      <c r="EN44" s="207">
        <v>28.947368421052634</v>
      </c>
    </row>
    <row r="45" spans="1:144" ht="12" customHeight="1" x14ac:dyDescent="0.2">
      <c r="A45" s="81" t="s">
        <v>28</v>
      </c>
      <c r="B45" s="56">
        <v>7348</v>
      </c>
      <c r="C45" s="54">
        <v>687223.39063837158</v>
      </c>
      <c r="D45" s="54">
        <v>37672</v>
      </c>
      <c r="E45" s="94">
        <v>34394</v>
      </c>
      <c r="F45" s="94">
        <v>21205.909396375606</v>
      </c>
      <c r="G45" s="126">
        <v>27314.674673721896</v>
      </c>
      <c r="H45" s="103">
        <v>72.506569000111213</v>
      </c>
      <c r="I45" s="103">
        <v>32.063146434403919</v>
      </c>
      <c r="J45" s="103">
        <v>8.7098530212302663</v>
      </c>
      <c r="K45" s="103">
        <v>10.32934131736527</v>
      </c>
      <c r="L45" s="103">
        <v>11.105062602068589</v>
      </c>
      <c r="M45" s="103">
        <v>8.9684267827980406</v>
      </c>
      <c r="N45" s="103">
        <v>28.824169842133912</v>
      </c>
      <c r="O45" s="178">
        <v>4.3941844391259099</v>
      </c>
      <c r="P45" s="179">
        <v>2.4893591377622553</v>
      </c>
      <c r="Q45" s="180">
        <v>3.1495916651898179</v>
      </c>
      <c r="R45" s="181">
        <v>71.676364723014103</v>
      </c>
      <c r="S45" s="178">
        <v>5.3620906007888882</v>
      </c>
      <c r="T45" s="179">
        <v>2.9555535988344048</v>
      </c>
      <c r="U45" s="180">
        <v>3.8183525372085851</v>
      </c>
      <c r="V45" s="181">
        <v>71.210145845853802</v>
      </c>
      <c r="W45" s="178">
        <v>5.691648335788412</v>
      </c>
      <c r="X45" s="179">
        <v>3.0587415399899949</v>
      </c>
      <c r="Y45" s="180">
        <v>3.9584027906778818</v>
      </c>
      <c r="Z45" s="181">
        <v>69.54756438109348</v>
      </c>
      <c r="AA45" s="178">
        <v>5.8433043516629395</v>
      </c>
      <c r="AB45" s="179">
        <v>3.2553521951361386</v>
      </c>
      <c r="AC45" s="180">
        <v>4.1982044989791438</v>
      </c>
      <c r="AD45" s="181">
        <v>71.846411658916608</v>
      </c>
      <c r="AE45" s="178">
        <v>5.9688227602231452</v>
      </c>
      <c r="AF45" s="179">
        <v>3.4390754365275251</v>
      </c>
      <c r="AG45" s="180">
        <v>4.4504813829929466</v>
      </c>
      <c r="AH45" s="181">
        <v>74.562129950505764</v>
      </c>
      <c r="AI45" s="178">
        <v>5.5803646498907087</v>
      </c>
      <c r="AJ45" s="179">
        <v>3.1737097300287882</v>
      </c>
      <c r="AK45" s="180">
        <v>4.1368848703759378</v>
      </c>
      <c r="AL45" s="181">
        <v>74.132877149111721</v>
      </c>
      <c r="AM45" s="178">
        <v>5.3407607322686683</v>
      </c>
      <c r="AN45" s="179">
        <v>2.5991057612638224</v>
      </c>
      <c r="AO45" s="180">
        <v>3.3509490298531017</v>
      </c>
      <c r="AP45" s="181">
        <v>62.742916184333041</v>
      </c>
      <c r="AQ45" s="178">
        <v>5.2757630797838955</v>
      </c>
      <c r="AR45" s="179">
        <v>2.7288011160064323</v>
      </c>
      <c r="AS45" s="180">
        <v>3.5060539503174422</v>
      </c>
      <c r="AT45" s="181">
        <v>66.455864247434249</v>
      </c>
      <c r="AU45" s="178">
        <v>5.6650925121923361</v>
      </c>
      <c r="AV45" s="179">
        <v>2.0394879526560281</v>
      </c>
      <c r="AW45" s="180">
        <v>2.4563692515697531</v>
      </c>
      <c r="AX45" s="181">
        <v>43.359737661533124</v>
      </c>
      <c r="AY45" s="178">
        <v>5.6470868337430122</v>
      </c>
      <c r="AZ45" s="179">
        <v>4.2746631813329152</v>
      </c>
      <c r="BA45" s="180">
        <v>5.5094367420313226</v>
      </c>
      <c r="BB45" s="181">
        <v>97.562458383158031</v>
      </c>
      <c r="BC45" s="178">
        <v>5.5730245783228129</v>
      </c>
      <c r="BD45" s="179">
        <v>2.8537518074122148</v>
      </c>
      <c r="BE45" s="180">
        <v>3.6461400758541562</v>
      </c>
      <c r="BF45" s="181">
        <v>65.42479805376081</v>
      </c>
      <c r="BG45" s="178">
        <v>5.5645498167732033</v>
      </c>
      <c r="BH45" s="179">
        <v>3.9842915862630917</v>
      </c>
      <c r="BI45" s="180">
        <v>5.1869772588758183</v>
      </c>
      <c r="BJ45" s="181">
        <v>93.21467916848782</v>
      </c>
      <c r="BK45" s="178">
        <v>5.2246336118143253</v>
      </c>
      <c r="BL45" s="179">
        <v>3.1535056297975887</v>
      </c>
      <c r="BM45" s="180">
        <v>4.0276717612242576</v>
      </c>
      <c r="BN45" s="181">
        <v>77.090032727205795</v>
      </c>
      <c r="BO45" s="189">
        <v>42.435275080906152</v>
      </c>
      <c r="BP45" s="190">
        <v>6.6545307443365687</v>
      </c>
      <c r="BQ45" s="190">
        <v>6.1893203883495147</v>
      </c>
      <c r="BR45" s="190">
        <v>7.3422330097087372</v>
      </c>
      <c r="BS45" s="190">
        <v>7.3220064724919096</v>
      </c>
      <c r="BT45" s="181">
        <v>30.056634304207119</v>
      </c>
      <c r="BU45" s="189">
        <v>16.026587887740028</v>
      </c>
      <c r="BV45" s="190">
        <v>11.225997045790251</v>
      </c>
      <c r="BW45" s="190">
        <v>17.503692762186116</v>
      </c>
      <c r="BX45" s="190">
        <v>16.986706056129986</v>
      </c>
      <c r="BY45" s="190">
        <v>11.299852289512554</v>
      </c>
      <c r="BZ45" s="181">
        <v>26.957163958641061</v>
      </c>
      <c r="CA45" s="189">
        <v>5.7275541795665639</v>
      </c>
      <c r="CB45" s="190">
        <v>15.944272445820435</v>
      </c>
      <c r="CC45" s="190">
        <v>21.671826625386998</v>
      </c>
      <c r="CD45" s="190">
        <v>19.814241486068113</v>
      </c>
      <c r="CE45" s="190">
        <v>11.455108359133128</v>
      </c>
      <c r="CF45" s="181">
        <v>25.386996904024766</v>
      </c>
      <c r="CG45" s="189">
        <v>0.41152263374485598</v>
      </c>
      <c r="CH45" s="190">
        <v>16.872427983539097</v>
      </c>
      <c r="CI45" s="190">
        <v>18.106995884773664</v>
      </c>
      <c r="CJ45" s="190">
        <v>22.222222222222221</v>
      </c>
      <c r="CK45" s="190">
        <v>16.872427983539097</v>
      </c>
      <c r="CL45" s="181">
        <v>25.514403292181072</v>
      </c>
      <c r="CM45" s="189">
        <v>1.8633540372670807</v>
      </c>
      <c r="CN45" s="190">
        <v>9.316770186335404</v>
      </c>
      <c r="CO45" s="190">
        <v>19.875776397515526</v>
      </c>
      <c r="CP45" s="190">
        <v>25.465838509316768</v>
      </c>
      <c r="CQ45" s="190">
        <v>18.012422360248447</v>
      </c>
      <c r="CR45" s="181">
        <v>25.465838509316768</v>
      </c>
      <c r="CS45" s="189">
        <v>25.990099009900991</v>
      </c>
      <c r="CT45" s="190">
        <v>8.5396039603960396</v>
      </c>
      <c r="CU45" s="190">
        <v>8.0445544554455441</v>
      </c>
      <c r="CV45" s="190">
        <v>14.727722772277227</v>
      </c>
      <c r="CW45" s="190">
        <v>9.9009900990099009</v>
      </c>
      <c r="CX45" s="181">
        <v>32.797029702970299</v>
      </c>
      <c r="CY45" s="189">
        <v>38.924050632911396</v>
      </c>
      <c r="CZ45" s="190">
        <v>9.3354430379746827</v>
      </c>
      <c r="DA45" s="190">
        <v>8.2278481012658222</v>
      </c>
      <c r="DB45" s="190">
        <v>8.5443037974683538</v>
      </c>
      <c r="DC45" s="190">
        <v>9.1772151898734187</v>
      </c>
      <c r="DD45" s="181">
        <v>25.791139240506329</v>
      </c>
      <c r="DE45" s="189">
        <v>34.292565947242203</v>
      </c>
      <c r="DF45" s="190">
        <v>8.1534772182254205</v>
      </c>
      <c r="DG45" s="190">
        <v>10.511590727418065</v>
      </c>
      <c r="DH45" s="190">
        <v>10.831334932054357</v>
      </c>
      <c r="DI45" s="190">
        <v>8.7929656274980026</v>
      </c>
      <c r="DJ45" s="181">
        <v>27.418065547561948</v>
      </c>
      <c r="DK45" s="189">
        <v>41.32231404958678</v>
      </c>
      <c r="DL45" s="190">
        <v>12.396694214876034</v>
      </c>
      <c r="DM45" s="190">
        <v>17.768595041322314</v>
      </c>
      <c r="DN45" s="190">
        <v>8.2644628099173563</v>
      </c>
      <c r="DO45" s="190">
        <v>6.1983471074380168</v>
      </c>
      <c r="DP45" s="181">
        <v>14.049586776859504</v>
      </c>
      <c r="DQ45" s="189">
        <v>36.514522821576762</v>
      </c>
      <c r="DR45" s="190">
        <v>9.9585062240663902</v>
      </c>
      <c r="DS45" s="190">
        <v>9.1286307053941904</v>
      </c>
      <c r="DT45" s="190">
        <v>9.5435684647302903</v>
      </c>
      <c r="DU45" s="190">
        <v>7.8838174273858916</v>
      </c>
      <c r="DV45" s="181">
        <v>26.970954356846473</v>
      </c>
      <c r="DW45" s="189">
        <v>37.292358803986708</v>
      </c>
      <c r="DX45" s="190">
        <v>9.8837209302325579</v>
      </c>
      <c r="DY45" s="190">
        <v>11.960132890365449</v>
      </c>
      <c r="DZ45" s="190">
        <v>10.382059800664452</v>
      </c>
      <c r="EA45" s="190">
        <v>8.0564784053156142</v>
      </c>
      <c r="EB45" s="181">
        <v>22.425249169435215</v>
      </c>
      <c r="EC45" s="189">
        <v>18.159806295399516</v>
      </c>
      <c r="ED45" s="190">
        <v>7.8288942695722357</v>
      </c>
      <c r="EE45" s="190">
        <v>10.573042776432606</v>
      </c>
      <c r="EF45" s="190">
        <v>13.397901533494755</v>
      </c>
      <c r="EG45" s="190">
        <v>11.299435028248588</v>
      </c>
      <c r="EH45" s="181">
        <v>38.7409200968523</v>
      </c>
      <c r="EI45" s="189">
        <v>38.202247191011232</v>
      </c>
      <c r="EJ45" s="190">
        <v>8.0898876404494384</v>
      </c>
      <c r="EK45" s="190">
        <v>8.3146067415730336</v>
      </c>
      <c r="EL45" s="190">
        <v>8.3146067415730336</v>
      </c>
      <c r="EM45" s="190">
        <v>6.0674157303370784</v>
      </c>
      <c r="EN45" s="207">
        <v>31.011235955056183</v>
      </c>
    </row>
    <row r="46" spans="1:144" ht="12" customHeight="1" thickBot="1" x14ac:dyDescent="0.25">
      <c r="A46" s="83" t="s">
        <v>29</v>
      </c>
      <c r="B46" s="57">
        <v>628</v>
      </c>
      <c r="C46" s="58">
        <v>32446.72419020722</v>
      </c>
      <c r="D46" s="58">
        <v>1641</v>
      </c>
      <c r="E46" s="95">
        <v>1583</v>
      </c>
      <c r="F46" s="95">
        <v>1043.6202104914976</v>
      </c>
      <c r="G46" s="127">
        <v>1352.3501660677273</v>
      </c>
      <c r="H46" s="104">
        <v>82.410125902969369</v>
      </c>
      <c r="I46" s="104">
        <v>32.484076433121018</v>
      </c>
      <c r="J46" s="104">
        <v>6.5286624203821653</v>
      </c>
      <c r="K46" s="104">
        <v>7.1656050955414008</v>
      </c>
      <c r="L46" s="104">
        <v>10.828025477707007</v>
      </c>
      <c r="M46" s="104">
        <v>10.509554140127388</v>
      </c>
      <c r="N46" s="104">
        <v>32.484076433121018</v>
      </c>
      <c r="O46" s="182">
        <v>4.3567881277414564</v>
      </c>
      <c r="P46" s="183">
        <v>2.4769336650360412</v>
      </c>
      <c r="Q46" s="184">
        <v>3.1612704886024288</v>
      </c>
      <c r="R46" s="185">
        <v>72.559656240185817</v>
      </c>
      <c r="S46" s="182">
        <v>5.3714241019010514</v>
      </c>
      <c r="T46" s="183">
        <v>3.1858141316723523</v>
      </c>
      <c r="U46" s="184">
        <v>4.1234682046002344</v>
      </c>
      <c r="V46" s="185">
        <v>76.766759175483074</v>
      </c>
      <c r="W46" s="182">
        <v>5.6369393062326267</v>
      </c>
      <c r="X46" s="183">
        <v>4.3748087206096065</v>
      </c>
      <c r="Y46" s="184">
        <v>5.7370820941920577</v>
      </c>
      <c r="Z46" s="185">
        <v>101.77654543572442</v>
      </c>
      <c r="AA46" s="182">
        <v>5.8590568500061977</v>
      </c>
      <c r="AB46" s="183">
        <v>4.9958769966214858</v>
      </c>
      <c r="AC46" s="184">
        <v>6.5718713557857145</v>
      </c>
      <c r="AD46" s="185">
        <v>112.16602815142103</v>
      </c>
      <c r="AE46" s="182">
        <v>5.9176558627990135</v>
      </c>
      <c r="AF46" s="183">
        <v>2.5077096460085331</v>
      </c>
      <c r="AG46" s="184">
        <v>3.2549075910011971</v>
      </c>
      <c r="AH46" s="185">
        <v>55.003326764284779</v>
      </c>
      <c r="AI46" s="182">
        <v>4.7644205195901863</v>
      </c>
      <c r="AJ46" s="183">
        <v>3.1873314064472296</v>
      </c>
      <c r="AK46" s="184">
        <v>4.1019066557932424</v>
      </c>
      <c r="AL46" s="185">
        <v>86.094555233467702</v>
      </c>
      <c r="AM46" s="182">
        <v>4.6712044785394484</v>
      </c>
      <c r="AN46" s="183">
        <v>2.3023646731090865</v>
      </c>
      <c r="AO46" s="184">
        <v>2.915196460232294</v>
      </c>
      <c r="AP46" s="185">
        <v>62.407810953799057</v>
      </c>
      <c r="AQ46" s="182">
        <v>5.0432109141557087</v>
      </c>
      <c r="AR46" s="183">
        <v>3.3949256620208592</v>
      </c>
      <c r="AS46" s="184">
        <v>4.3510872332894506</v>
      </c>
      <c r="AT46" s="185">
        <v>86.276130571427274</v>
      </c>
      <c r="AU46" s="182">
        <v>4.8118801899873853</v>
      </c>
      <c r="AV46" s="183">
        <v>1.5963737428275733</v>
      </c>
      <c r="AW46" s="184">
        <v>1.9572647570766273</v>
      </c>
      <c r="AX46" s="185">
        <v>40.675675199671971</v>
      </c>
      <c r="AY46" s="182">
        <v>5.343096934994743</v>
      </c>
      <c r="AZ46" s="183">
        <v>4.8841528558899929</v>
      </c>
      <c r="BA46" s="184">
        <v>6.5674995136469221</v>
      </c>
      <c r="BB46" s="185">
        <v>122.91559733144508</v>
      </c>
      <c r="BC46" s="182">
        <v>4.9746271486081381</v>
      </c>
      <c r="BD46" s="183">
        <v>2.8597136398901553</v>
      </c>
      <c r="BE46" s="184">
        <v>3.7273362653970796</v>
      </c>
      <c r="BF46" s="185">
        <v>74.926947368104948</v>
      </c>
      <c r="BG46" s="182">
        <v>5.2761913313184374</v>
      </c>
      <c r="BH46" s="183">
        <v>3.8382383537094298</v>
      </c>
      <c r="BI46" s="184">
        <v>5.0446847874710663</v>
      </c>
      <c r="BJ46" s="185">
        <v>95.612241306087697</v>
      </c>
      <c r="BK46" s="182">
        <v>5.4107432860359133</v>
      </c>
      <c r="BL46" s="183">
        <v>1.3090138969026746</v>
      </c>
      <c r="BM46" s="184">
        <v>1.7477548410055035</v>
      </c>
      <c r="BN46" s="185">
        <v>32.301566505957183</v>
      </c>
      <c r="BO46" s="191">
        <v>40.598290598290596</v>
      </c>
      <c r="BP46" s="192">
        <v>4.0598290598290596</v>
      </c>
      <c r="BQ46" s="192">
        <v>7.0512820512820511</v>
      </c>
      <c r="BR46" s="192">
        <v>8.9743589743589745</v>
      </c>
      <c r="BS46" s="192">
        <v>7.2649572649572658</v>
      </c>
      <c r="BT46" s="185">
        <v>32.051282051282051</v>
      </c>
      <c r="BU46" s="191">
        <v>12</v>
      </c>
      <c r="BV46" s="192">
        <v>17</v>
      </c>
      <c r="BW46" s="192">
        <v>9</v>
      </c>
      <c r="BX46" s="192">
        <v>16</v>
      </c>
      <c r="BY46" s="192">
        <v>18</v>
      </c>
      <c r="BZ46" s="185">
        <v>28.000000000000004</v>
      </c>
      <c r="CA46" s="191">
        <v>3.8461538461538463</v>
      </c>
      <c r="CB46" s="192">
        <v>5.7692307692307692</v>
      </c>
      <c r="CC46" s="192">
        <v>3.8461538461538463</v>
      </c>
      <c r="CD46" s="192">
        <v>19.230769230769234</v>
      </c>
      <c r="CE46" s="192">
        <v>23.076923076923077</v>
      </c>
      <c r="CF46" s="185">
        <v>44.230769230769226</v>
      </c>
      <c r="CG46" s="191">
        <v>0</v>
      </c>
      <c r="CH46" s="192">
        <v>0</v>
      </c>
      <c r="CI46" s="192">
        <v>20</v>
      </c>
      <c r="CJ46" s="192">
        <v>0</v>
      </c>
      <c r="CK46" s="192">
        <v>40</v>
      </c>
      <c r="CL46" s="185">
        <v>40</v>
      </c>
      <c r="CM46" s="191">
        <v>0</v>
      </c>
      <c r="CN46" s="192">
        <v>66.666666666666657</v>
      </c>
      <c r="CO46" s="192">
        <v>0</v>
      </c>
      <c r="CP46" s="192">
        <v>0</v>
      </c>
      <c r="CQ46" s="192">
        <v>0</v>
      </c>
      <c r="CR46" s="185">
        <v>33.333333333333329</v>
      </c>
      <c r="CS46" s="191">
        <v>29.09090909090909</v>
      </c>
      <c r="CT46" s="192">
        <v>12.727272727272727</v>
      </c>
      <c r="CU46" s="192">
        <v>1.8181818181818181</v>
      </c>
      <c r="CV46" s="192">
        <v>9.0909090909090917</v>
      </c>
      <c r="CW46" s="192">
        <v>10.909090909090908</v>
      </c>
      <c r="CX46" s="185">
        <v>36.363636363636367</v>
      </c>
      <c r="CY46" s="191">
        <v>47.058823529411761</v>
      </c>
      <c r="CZ46" s="192">
        <v>4.9019607843137258</v>
      </c>
      <c r="DA46" s="192">
        <v>4.9019607843137258</v>
      </c>
      <c r="DB46" s="192">
        <v>10.784313725490197</v>
      </c>
      <c r="DC46" s="192">
        <v>3.9215686274509802</v>
      </c>
      <c r="DD46" s="185">
        <v>28.431372549019606</v>
      </c>
      <c r="DE46" s="191">
        <v>27.734375</v>
      </c>
      <c r="DF46" s="192">
        <v>4.6875</v>
      </c>
      <c r="DG46" s="192">
        <v>9.765625</v>
      </c>
      <c r="DH46" s="192">
        <v>10.15625</v>
      </c>
      <c r="DI46" s="192">
        <v>12.109375</v>
      </c>
      <c r="DJ46" s="185">
        <v>35.546875</v>
      </c>
      <c r="DK46" s="191">
        <v>33.333333333333329</v>
      </c>
      <c r="DL46" s="192">
        <v>33.333333333333329</v>
      </c>
      <c r="DM46" s="192">
        <v>0</v>
      </c>
      <c r="DN46" s="192">
        <v>11.111111111111111</v>
      </c>
      <c r="DO46" s="192">
        <v>0</v>
      </c>
      <c r="DP46" s="185">
        <v>22.222222222222221</v>
      </c>
      <c r="DQ46" s="191">
        <v>42.857142857142854</v>
      </c>
      <c r="DR46" s="192">
        <v>0</v>
      </c>
      <c r="DS46" s="192">
        <v>7.1428571428571423</v>
      </c>
      <c r="DT46" s="192">
        <v>0</v>
      </c>
      <c r="DU46" s="192">
        <v>0</v>
      </c>
      <c r="DV46" s="185">
        <v>50</v>
      </c>
      <c r="DW46" s="191">
        <v>34.375</v>
      </c>
      <c r="DX46" s="192">
        <v>6.25</v>
      </c>
      <c r="DY46" s="192">
        <v>6.25</v>
      </c>
      <c r="DZ46" s="192">
        <v>12.5</v>
      </c>
      <c r="EA46" s="192">
        <v>15.625</v>
      </c>
      <c r="EB46" s="185">
        <v>25</v>
      </c>
      <c r="EC46" s="191">
        <v>18.27956989247312</v>
      </c>
      <c r="ED46" s="192">
        <v>7.5268817204301079</v>
      </c>
      <c r="EE46" s="192">
        <v>8.6021505376344098</v>
      </c>
      <c r="EF46" s="192">
        <v>16.129032258064516</v>
      </c>
      <c r="EG46" s="192">
        <v>15.053763440860216</v>
      </c>
      <c r="EH46" s="185">
        <v>34.408602150537639</v>
      </c>
      <c r="EI46" s="191">
        <v>62.5</v>
      </c>
      <c r="EJ46" s="192">
        <v>9.375</v>
      </c>
      <c r="EK46" s="192">
        <v>3.125</v>
      </c>
      <c r="EL46" s="192">
        <v>6.25</v>
      </c>
      <c r="EM46" s="192">
        <v>3.125</v>
      </c>
      <c r="EN46" s="208">
        <v>15.625</v>
      </c>
    </row>
    <row r="47" spans="1:144" s="27" customFormat="1" ht="12" thickBot="1" x14ac:dyDescent="0.25">
      <c r="A47" s="210" t="s">
        <v>109</v>
      </c>
      <c r="B47" s="84">
        <v>109239</v>
      </c>
      <c r="C47" s="85">
        <v>12217703.313564241</v>
      </c>
      <c r="D47" s="85">
        <v>679439</v>
      </c>
      <c r="E47" s="85">
        <v>638435</v>
      </c>
      <c r="F47" s="85">
        <v>429256.21040106134</v>
      </c>
      <c r="G47" s="86">
        <v>549303.87400662189</v>
      </c>
      <c r="H47" s="87">
        <v>80.846679982547641</v>
      </c>
      <c r="I47" s="85">
        <v>30.927599117531283</v>
      </c>
      <c r="J47" s="85">
        <v>8.837503089555927</v>
      </c>
      <c r="K47" s="85">
        <v>10.118181235639288</v>
      </c>
      <c r="L47" s="85">
        <v>11.351257334834628</v>
      </c>
      <c r="M47" s="85">
        <v>9.8902406649639794</v>
      </c>
      <c r="N47" s="86">
        <v>28.875218557474895</v>
      </c>
      <c r="O47" s="146">
        <v>4.3820959736033327</v>
      </c>
      <c r="P47" s="147">
        <v>2.6149233798571236</v>
      </c>
      <c r="Q47" s="147">
        <v>3.2858574546545576</v>
      </c>
      <c r="R47" s="148">
        <v>74.983694434073414</v>
      </c>
      <c r="S47" s="146">
        <v>5.3418599275447054</v>
      </c>
      <c r="T47" s="147">
        <v>3.146813809152945</v>
      </c>
      <c r="U47" s="147">
        <v>3.9974375943021134</v>
      </c>
      <c r="V47" s="148">
        <v>74.832317741799486</v>
      </c>
      <c r="W47" s="146">
        <v>5.685938036478384</v>
      </c>
      <c r="X47" s="147">
        <v>3.2820404251625703</v>
      </c>
      <c r="Y47" s="147">
        <v>4.2032093917883309</v>
      </c>
      <c r="Z47" s="186">
        <v>73.92288422459859</v>
      </c>
      <c r="AA47" s="146">
        <v>5.8576867039934042</v>
      </c>
      <c r="AB47" s="147">
        <v>3.5216763365271992</v>
      </c>
      <c r="AC47" s="147">
        <v>4.5133678685200946</v>
      </c>
      <c r="AD47" s="186">
        <v>77.05034592312974</v>
      </c>
      <c r="AE47" s="146">
        <v>5.9707770954859747</v>
      </c>
      <c r="AF47" s="147">
        <v>4.0424788147054729</v>
      </c>
      <c r="AG47" s="147">
        <v>5.2017693915916965</v>
      </c>
      <c r="AH47" s="186">
        <v>87.12047541557591</v>
      </c>
      <c r="AI47" s="203">
        <v>5.6232632423602045</v>
      </c>
      <c r="AJ47" s="204">
        <v>4.1267983221154392</v>
      </c>
      <c r="AK47" s="204">
        <v>5.3839978253197103</v>
      </c>
      <c r="AL47" s="205">
        <v>95.74507884962415</v>
      </c>
      <c r="AM47" s="203">
        <v>5.2766128739845017</v>
      </c>
      <c r="AN47" s="204">
        <v>2.7012914414062719</v>
      </c>
      <c r="AO47" s="204">
        <v>3.4703114831498385</v>
      </c>
      <c r="AP47" s="205">
        <v>65.767786381670263</v>
      </c>
      <c r="AQ47" s="203">
        <v>5.5380390277853442</v>
      </c>
      <c r="AR47" s="204">
        <v>3.4215015527607835</v>
      </c>
      <c r="AS47" s="204">
        <v>4.3704128702235128</v>
      </c>
      <c r="AT47" s="205">
        <v>78.916252635569379</v>
      </c>
      <c r="AU47" s="203">
        <v>5.6488101964015653</v>
      </c>
      <c r="AV47" s="204">
        <v>2.2783248498976638</v>
      </c>
      <c r="AW47" s="204">
        <v>2.8506793695320076</v>
      </c>
      <c r="AX47" s="205">
        <v>50.465129300112835</v>
      </c>
      <c r="AY47" s="203">
        <v>5.7822059713672811</v>
      </c>
      <c r="AZ47" s="204">
        <v>3.8096568579958494</v>
      </c>
      <c r="BA47" s="204">
        <v>4.8379014347189369</v>
      </c>
      <c r="BB47" s="205">
        <v>83.668784174683239</v>
      </c>
      <c r="BC47" s="203">
        <v>5.5317341498866179</v>
      </c>
      <c r="BD47" s="204">
        <v>2.7429740963097937</v>
      </c>
      <c r="BE47" s="204">
        <v>3.4486228085904083</v>
      </c>
      <c r="BF47" s="205">
        <v>62.342526143652321</v>
      </c>
      <c r="BG47" s="203">
        <v>5.5805974353566565</v>
      </c>
      <c r="BH47" s="204">
        <v>4.5336969206067996</v>
      </c>
      <c r="BI47" s="204">
        <v>5.7796806351161116</v>
      </c>
      <c r="BJ47" s="205">
        <v>103.56741732521569</v>
      </c>
      <c r="BK47" s="203">
        <v>5.3075094636115994</v>
      </c>
      <c r="BL47" s="204">
        <v>2.7837676349320724</v>
      </c>
      <c r="BM47" s="204">
        <v>3.5364040577854015</v>
      </c>
      <c r="BN47" s="205">
        <v>66.630197873994661</v>
      </c>
      <c r="BO47" s="149">
        <v>42.049756625202811</v>
      </c>
      <c r="BP47" s="150">
        <v>6.4074464148472856</v>
      </c>
      <c r="BQ47" s="151">
        <v>5.9292362870399362</v>
      </c>
      <c r="BR47" s="151">
        <v>7.9559363525091795</v>
      </c>
      <c r="BS47" s="151">
        <v>7.4677635137058438</v>
      </c>
      <c r="BT47" s="152">
        <v>30.189860806694941</v>
      </c>
      <c r="BU47" s="149">
        <v>16.889606784109837</v>
      </c>
      <c r="BV47" s="150">
        <v>11.670284185553479</v>
      </c>
      <c r="BW47" s="151">
        <v>16.238453384483368</v>
      </c>
      <c r="BX47" s="151">
        <v>15.728635606481248</v>
      </c>
      <c r="BY47" s="151">
        <v>11.781333602544041</v>
      </c>
      <c r="BZ47" s="152">
        <v>27.691686436828022</v>
      </c>
      <c r="CA47" s="149">
        <v>6.5309867378430226</v>
      </c>
      <c r="CB47" s="150">
        <v>15.789473684210526</v>
      </c>
      <c r="CC47" s="151">
        <v>19.084160480440403</v>
      </c>
      <c r="CD47" s="151">
        <v>18.225039619651348</v>
      </c>
      <c r="CE47" s="151">
        <v>15.238969054967052</v>
      </c>
      <c r="CF47" s="152">
        <v>25.131370422887645</v>
      </c>
      <c r="CG47" s="149">
        <v>2.0044543429844097</v>
      </c>
      <c r="CH47" s="150">
        <v>14.253897550111358</v>
      </c>
      <c r="CI47" s="151">
        <v>19.995050730017322</v>
      </c>
      <c r="CJ47" s="151">
        <v>19.920811680277158</v>
      </c>
      <c r="CK47" s="151">
        <v>18.485523385300667</v>
      </c>
      <c r="CL47" s="152">
        <v>25.340262311309083</v>
      </c>
      <c r="CM47" s="149">
        <v>0.95663265306122447</v>
      </c>
      <c r="CN47" s="150">
        <v>11.830357142857142</v>
      </c>
      <c r="CO47" s="151">
        <v>18.303571428571427</v>
      </c>
      <c r="CP47" s="151">
        <v>22.448979591836736</v>
      </c>
      <c r="CQ47" s="151">
        <v>20.695153061224488</v>
      </c>
      <c r="CR47" s="152">
        <v>25.765306122448976</v>
      </c>
      <c r="CS47" s="299">
        <v>19.194731487926326</v>
      </c>
      <c r="CT47" s="300">
        <v>6.4303689029287359</v>
      </c>
      <c r="CU47" s="301">
        <v>8.7326658456925621</v>
      </c>
      <c r="CV47" s="301">
        <v>12.560903785404509</v>
      </c>
      <c r="CW47" s="301">
        <v>12.81255019542753</v>
      </c>
      <c r="CX47" s="302">
        <v>40.268779782620335</v>
      </c>
      <c r="CY47" s="299">
        <v>35.867768595041319</v>
      </c>
      <c r="CZ47" s="300">
        <v>8.2277318640954995</v>
      </c>
      <c r="DA47" s="301">
        <v>8.2277318640954995</v>
      </c>
      <c r="DB47" s="301">
        <v>9.7704315886134072</v>
      </c>
      <c r="DC47" s="301">
        <v>9.0358126721763092</v>
      </c>
      <c r="DD47" s="302">
        <v>28.87052341597796</v>
      </c>
      <c r="DE47" s="299">
        <v>32.115929790699077</v>
      </c>
      <c r="DF47" s="300">
        <v>8.806321249773811</v>
      </c>
      <c r="DG47" s="301">
        <v>10.362506785692743</v>
      </c>
      <c r="DH47" s="301">
        <v>11.683454973158815</v>
      </c>
      <c r="DI47" s="301">
        <v>9.9674286748296037</v>
      </c>
      <c r="DJ47" s="302">
        <v>27.06435852584595</v>
      </c>
      <c r="DK47" s="299">
        <v>49.681020733652318</v>
      </c>
      <c r="DL47" s="300">
        <v>14.433811802232855</v>
      </c>
      <c r="DM47" s="301">
        <v>12.001594896331738</v>
      </c>
      <c r="DN47" s="301">
        <v>8.5925039872408284</v>
      </c>
      <c r="DO47" s="301">
        <v>4.8444976076555024</v>
      </c>
      <c r="DP47" s="302">
        <v>10.446570972886763</v>
      </c>
      <c r="DQ47" s="299">
        <v>34.872859366891539</v>
      </c>
      <c r="DR47" s="300">
        <v>9.8598858329008809</v>
      </c>
      <c r="DS47" s="301">
        <v>12.376751427088738</v>
      </c>
      <c r="DT47" s="301">
        <v>11.831862999481059</v>
      </c>
      <c r="DU47" s="301">
        <v>9.7301504929942908</v>
      </c>
      <c r="DV47" s="302">
        <v>21.328489880643488</v>
      </c>
      <c r="DW47" s="299">
        <v>39.252119382185576</v>
      </c>
      <c r="DX47" s="300">
        <v>11.148530948786437</v>
      </c>
      <c r="DY47" s="301">
        <v>11.549181279758448</v>
      </c>
      <c r="DZ47" s="301">
        <v>10.393682499129021</v>
      </c>
      <c r="EA47" s="301">
        <v>7.7459063987922416</v>
      </c>
      <c r="EB47" s="302">
        <v>19.910579491348276</v>
      </c>
      <c r="EC47" s="299">
        <v>19.087425983977706</v>
      </c>
      <c r="ED47" s="300">
        <v>7.913618948101707</v>
      </c>
      <c r="EE47" s="301">
        <v>10.017415534656914</v>
      </c>
      <c r="EF47" s="301">
        <v>12.998955067920583</v>
      </c>
      <c r="EG47" s="301">
        <v>11.91919191919192</v>
      </c>
      <c r="EH47" s="302">
        <v>38.063392546151164</v>
      </c>
      <c r="EI47" s="299">
        <v>39.31822238086739</v>
      </c>
      <c r="EJ47" s="300">
        <v>7.9957165804033554</v>
      </c>
      <c r="EK47" s="301">
        <v>9.8518650722827061</v>
      </c>
      <c r="EL47" s="301">
        <v>9.4770658575762994</v>
      </c>
      <c r="EM47" s="301">
        <v>7.4067463858647153</v>
      </c>
      <c r="EN47" s="303">
        <v>25.950383723005533</v>
      </c>
    </row>
    <row r="48" spans="1:144" x14ac:dyDescent="0.2">
      <c r="E48" s="16"/>
      <c r="F48" s="18"/>
      <c r="G48" s="17"/>
      <c r="H48" s="17"/>
      <c r="I48" s="17"/>
      <c r="J48" s="17"/>
      <c r="K48" s="17"/>
      <c r="L48" s="17"/>
      <c r="M48" s="17"/>
      <c r="N48" s="17"/>
    </row>
    <row r="49" spans="1:144" x14ac:dyDescent="0.2">
      <c r="B49" s="13"/>
      <c r="E49" s="15"/>
      <c r="F49" s="15"/>
    </row>
    <row r="50" spans="1:144" s="31" customFormat="1" x14ac:dyDescent="0.2">
      <c r="A50" s="28"/>
      <c r="B50" s="29"/>
      <c r="C50" s="29"/>
      <c r="D50" s="29"/>
      <c r="E50" s="29"/>
      <c r="F50" s="29"/>
      <c r="G50" s="29"/>
      <c r="H50" s="29"/>
      <c r="I50" s="29"/>
      <c r="J50" s="29"/>
      <c r="K50" s="29"/>
      <c r="L50" s="29"/>
      <c r="M50" s="29"/>
      <c r="N50" s="29"/>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row>
    <row r="51" spans="1:144" s="31" customFormat="1" ht="12" thickBot="1" x14ac:dyDescent="0.25">
      <c r="A51" s="28"/>
      <c r="B51" s="29"/>
      <c r="C51" s="29"/>
      <c r="D51" s="29"/>
      <c r="E51" s="29"/>
      <c r="F51" s="29"/>
      <c r="G51" s="29"/>
      <c r="H51" s="29"/>
      <c r="I51" s="29"/>
      <c r="J51" s="29"/>
      <c r="K51" s="29"/>
      <c r="L51" s="29"/>
      <c r="M51" s="29"/>
      <c r="N51" s="29"/>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row>
    <row r="52" spans="1:144" s="261" customFormat="1" ht="25.5" customHeight="1" thickBot="1" x14ac:dyDescent="0.25">
      <c r="O52" s="421" t="s">
        <v>85</v>
      </c>
      <c r="P52" s="422"/>
      <c r="Q52" s="422"/>
      <c r="R52" s="422"/>
      <c r="S52" s="422"/>
      <c r="T52" s="422"/>
      <c r="U52" s="422"/>
      <c r="V52" s="422"/>
      <c r="W52" s="422"/>
      <c r="X52" s="422"/>
      <c r="Y52" s="422"/>
      <c r="Z52" s="422"/>
      <c r="AA52" s="422"/>
      <c r="AB52" s="422"/>
      <c r="AC52" s="422"/>
      <c r="AD52" s="422"/>
      <c r="AE52" s="422"/>
      <c r="AF52" s="422"/>
      <c r="AG52" s="422"/>
      <c r="AH52" s="423"/>
      <c r="AI52" s="421" t="s">
        <v>86</v>
      </c>
      <c r="AJ52" s="422"/>
      <c r="AK52" s="422"/>
      <c r="AL52" s="422"/>
      <c r="AM52" s="422"/>
      <c r="AN52" s="422"/>
      <c r="AO52" s="422"/>
      <c r="AP52" s="422"/>
      <c r="AQ52" s="422"/>
      <c r="AR52" s="422"/>
      <c r="AS52" s="422"/>
      <c r="AT52" s="422"/>
      <c r="AU52" s="422"/>
      <c r="AV52" s="422"/>
      <c r="AW52" s="422"/>
      <c r="AX52" s="422"/>
      <c r="AY52" s="422"/>
      <c r="AZ52" s="422"/>
      <c r="BA52" s="422"/>
      <c r="BB52" s="422"/>
      <c r="BC52" s="422"/>
      <c r="BD52" s="422"/>
      <c r="BE52" s="422"/>
      <c r="BF52" s="422"/>
      <c r="BG52" s="422"/>
      <c r="BH52" s="422"/>
      <c r="BI52" s="422"/>
      <c r="BJ52" s="422"/>
      <c r="BK52" s="422"/>
      <c r="BL52" s="422"/>
      <c r="BM52" s="422"/>
      <c r="BN52" s="423"/>
      <c r="BO52" s="421" t="s">
        <v>87</v>
      </c>
      <c r="BP52" s="422"/>
      <c r="BQ52" s="422"/>
      <c r="BR52" s="422"/>
      <c r="BS52" s="422"/>
      <c r="BT52" s="422"/>
      <c r="BU52" s="422"/>
      <c r="BV52" s="422"/>
      <c r="BW52" s="422"/>
      <c r="BX52" s="422"/>
      <c r="BY52" s="422"/>
      <c r="BZ52" s="422"/>
      <c r="CA52" s="422"/>
      <c r="CB52" s="422"/>
      <c r="CC52" s="422"/>
      <c r="CD52" s="422"/>
      <c r="CE52" s="422"/>
      <c r="CF52" s="422"/>
      <c r="CG52" s="422"/>
      <c r="CH52" s="422"/>
      <c r="CI52" s="422"/>
      <c r="CJ52" s="422"/>
      <c r="CK52" s="422"/>
      <c r="CL52" s="422"/>
      <c r="CM52" s="422"/>
      <c r="CN52" s="422"/>
      <c r="CO52" s="422"/>
      <c r="CP52" s="422"/>
      <c r="CQ52" s="422"/>
      <c r="CR52" s="423"/>
      <c r="CS52" s="421" t="s">
        <v>88</v>
      </c>
      <c r="CT52" s="422"/>
      <c r="CU52" s="422"/>
      <c r="CV52" s="422"/>
      <c r="CW52" s="422"/>
      <c r="CX52" s="422"/>
      <c r="CY52" s="422"/>
      <c r="CZ52" s="422"/>
      <c r="DA52" s="422"/>
      <c r="DB52" s="422"/>
      <c r="DC52" s="422"/>
      <c r="DD52" s="422"/>
      <c r="DE52" s="422"/>
      <c r="DF52" s="422"/>
      <c r="DG52" s="422"/>
      <c r="DH52" s="422"/>
      <c r="DI52" s="422"/>
      <c r="DJ52" s="422"/>
      <c r="DK52" s="422"/>
      <c r="DL52" s="422"/>
      <c r="DM52" s="422"/>
      <c r="DN52" s="422"/>
      <c r="DO52" s="422"/>
      <c r="DP52" s="422"/>
      <c r="DQ52" s="422"/>
      <c r="DR52" s="422"/>
      <c r="DS52" s="422"/>
      <c r="DT52" s="422"/>
      <c r="DU52" s="422"/>
      <c r="DV52" s="422"/>
      <c r="DW52" s="422"/>
      <c r="DX52" s="422"/>
      <c r="DY52" s="422"/>
      <c r="DZ52" s="422"/>
      <c r="EA52" s="422"/>
      <c r="EB52" s="422"/>
      <c r="EC52" s="422"/>
      <c r="ED52" s="422"/>
      <c r="EE52" s="422"/>
      <c r="EF52" s="422"/>
      <c r="EG52" s="422"/>
      <c r="EH52" s="422"/>
      <c r="EI52" s="422"/>
      <c r="EJ52" s="422"/>
      <c r="EK52" s="422"/>
      <c r="EL52" s="422"/>
      <c r="EM52" s="422"/>
      <c r="EN52" s="423"/>
    </row>
    <row r="53" spans="1:144" s="27" customFormat="1" ht="70.5" customHeight="1" thickBot="1" x14ac:dyDescent="0.25">
      <c r="A53" s="269" t="s">
        <v>130</v>
      </c>
      <c r="B53" s="424" t="s">
        <v>34</v>
      </c>
      <c r="C53" s="424"/>
      <c r="D53" s="424"/>
      <c r="E53" s="424"/>
      <c r="F53" s="424"/>
      <c r="G53" s="424"/>
      <c r="H53" s="424" t="s">
        <v>68</v>
      </c>
      <c r="I53" s="424"/>
      <c r="J53" s="424"/>
      <c r="K53" s="424"/>
      <c r="L53" s="424"/>
      <c r="M53" s="424"/>
      <c r="N53" s="424"/>
      <c r="O53" s="425" t="s">
        <v>79</v>
      </c>
      <c r="P53" s="425"/>
      <c r="Q53" s="425"/>
      <c r="R53" s="425"/>
      <c r="S53" s="425" t="s">
        <v>80</v>
      </c>
      <c r="T53" s="425"/>
      <c r="U53" s="425"/>
      <c r="V53" s="425"/>
      <c r="W53" s="425" t="s">
        <v>81</v>
      </c>
      <c r="X53" s="425"/>
      <c r="Y53" s="425"/>
      <c r="Z53" s="425"/>
      <c r="AA53" s="425" t="s">
        <v>82</v>
      </c>
      <c r="AB53" s="425"/>
      <c r="AC53" s="425"/>
      <c r="AD53" s="425"/>
      <c r="AE53" s="425" t="s">
        <v>7</v>
      </c>
      <c r="AF53" s="425"/>
      <c r="AG53" s="425"/>
      <c r="AH53" s="425"/>
      <c r="AI53" s="426" t="s">
        <v>36</v>
      </c>
      <c r="AJ53" s="426"/>
      <c r="AK53" s="426"/>
      <c r="AL53" s="426"/>
      <c r="AM53" s="426" t="s">
        <v>4</v>
      </c>
      <c r="AN53" s="426"/>
      <c r="AO53" s="426"/>
      <c r="AP53" s="426"/>
      <c r="AQ53" s="426" t="s">
        <v>44</v>
      </c>
      <c r="AR53" s="426"/>
      <c r="AS53" s="426"/>
      <c r="AT53" s="426"/>
      <c r="AU53" s="426" t="s">
        <v>5</v>
      </c>
      <c r="AV53" s="426"/>
      <c r="AW53" s="426"/>
      <c r="AX53" s="426"/>
      <c r="AY53" s="426" t="s">
        <v>37</v>
      </c>
      <c r="AZ53" s="426"/>
      <c r="BA53" s="426"/>
      <c r="BB53" s="426"/>
      <c r="BC53" s="426" t="s">
        <v>38</v>
      </c>
      <c r="BD53" s="426"/>
      <c r="BE53" s="426"/>
      <c r="BF53" s="426"/>
      <c r="BG53" s="426" t="s">
        <v>6</v>
      </c>
      <c r="BH53" s="426"/>
      <c r="BI53" s="426"/>
      <c r="BJ53" s="426"/>
      <c r="BK53" s="426" t="s">
        <v>16</v>
      </c>
      <c r="BL53" s="426"/>
      <c r="BM53" s="426"/>
      <c r="BN53" s="426"/>
      <c r="BO53" s="425" t="s">
        <v>79</v>
      </c>
      <c r="BP53" s="425"/>
      <c r="BQ53" s="425"/>
      <c r="BR53" s="425"/>
      <c r="BS53" s="425"/>
      <c r="BT53" s="425"/>
      <c r="BU53" s="425" t="s">
        <v>80</v>
      </c>
      <c r="BV53" s="425"/>
      <c r="BW53" s="425"/>
      <c r="BX53" s="425"/>
      <c r="BY53" s="425"/>
      <c r="BZ53" s="425"/>
      <c r="CA53" s="425" t="s">
        <v>81</v>
      </c>
      <c r="CB53" s="425"/>
      <c r="CC53" s="425"/>
      <c r="CD53" s="425"/>
      <c r="CE53" s="425"/>
      <c r="CF53" s="425"/>
      <c r="CG53" s="425" t="s">
        <v>82</v>
      </c>
      <c r="CH53" s="425"/>
      <c r="CI53" s="425"/>
      <c r="CJ53" s="425"/>
      <c r="CK53" s="425"/>
      <c r="CL53" s="425"/>
      <c r="CM53" s="425" t="s">
        <v>7</v>
      </c>
      <c r="CN53" s="425"/>
      <c r="CO53" s="425"/>
      <c r="CP53" s="425"/>
      <c r="CQ53" s="425"/>
      <c r="CR53" s="425"/>
      <c r="CS53" s="426" t="s">
        <v>36</v>
      </c>
      <c r="CT53" s="426"/>
      <c r="CU53" s="426"/>
      <c r="CV53" s="426"/>
      <c r="CW53" s="426"/>
      <c r="CX53" s="426"/>
      <c r="CY53" s="426" t="s">
        <v>4</v>
      </c>
      <c r="CZ53" s="426"/>
      <c r="DA53" s="426"/>
      <c r="DB53" s="426"/>
      <c r="DC53" s="426"/>
      <c r="DD53" s="426"/>
      <c r="DE53" s="426" t="s">
        <v>44</v>
      </c>
      <c r="DF53" s="426"/>
      <c r="DG53" s="426"/>
      <c r="DH53" s="426"/>
      <c r="DI53" s="426"/>
      <c r="DJ53" s="426"/>
      <c r="DK53" s="426" t="s">
        <v>5</v>
      </c>
      <c r="DL53" s="426"/>
      <c r="DM53" s="426"/>
      <c r="DN53" s="426"/>
      <c r="DO53" s="426"/>
      <c r="DP53" s="426"/>
      <c r="DQ53" s="426" t="s">
        <v>37</v>
      </c>
      <c r="DR53" s="426"/>
      <c r="DS53" s="426"/>
      <c r="DT53" s="426"/>
      <c r="DU53" s="426"/>
      <c r="DV53" s="426"/>
      <c r="DW53" s="426" t="s">
        <v>38</v>
      </c>
      <c r="DX53" s="426"/>
      <c r="DY53" s="426"/>
      <c r="DZ53" s="426"/>
      <c r="EA53" s="426"/>
      <c r="EB53" s="426"/>
      <c r="EC53" s="426" t="s">
        <v>6</v>
      </c>
      <c r="ED53" s="426"/>
      <c r="EE53" s="426"/>
      <c r="EF53" s="426"/>
      <c r="EG53" s="426"/>
      <c r="EH53" s="426"/>
      <c r="EI53" s="426" t="s">
        <v>16</v>
      </c>
      <c r="EJ53" s="426"/>
      <c r="EK53" s="426"/>
      <c r="EL53" s="426"/>
      <c r="EM53" s="426"/>
      <c r="EN53" s="426"/>
    </row>
    <row r="54" spans="1:144" s="34" customFormat="1" ht="102.75" customHeight="1" x14ac:dyDescent="0.2">
      <c r="A54" s="265" t="s">
        <v>30</v>
      </c>
      <c r="B54" s="266" t="s">
        <v>105</v>
      </c>
      <c r="C54" s="267" t="s">
        <v>106</v>
      </c>
      <c r="D54" s="267" t="s">
        <v>107</v>
      </c>
      <c r="E54" s="267" t="s">
        <v>108</v>
      </c>
      <c r="F54" s="267" t="s">
        <v>58</v>
      </c>
      <c r="G54" s="268" t="s">
        <v>59</v>
      </c>
      <c r="H54" s="218" t="s">
        <v>69</v>
      </c>
      <c r="I54" s="218" t="s">
        <v>70</v>
      </c>
      <c r="J54" s="218" t="s">
        <v>71</v>
      </c>
      <c r="K54" s="218" t="s">
        <v>72</v>
      </c>
      <c r="L54" s="218" t="s">
        <v>73</v>
      </c>
      <c r="M54" s="218" t="s">
        <v>74</v>
      </c>
      <c r="N54" s="219" t="s">
        <v>75</v>
      </c>
      <c r="O54" s="282" t="s">
        <v>76</v>
      </c>
      <c r="P54" s="282" t="s">
        <v>77</v>
      </c>
      <c r="Q54" s="282" t="s">
        <v>78</v>
      </c>
      <c r="R54" s="283" t="s">
        <v>83</v>
      </c>
      <c r="S54" s="282" t="s">
        <v>76</v>
      </c>
      <c r="T54" s="282" t="s">
        <v>77</v>
      </c>
      <c r="U54" s="282" t="s">
        <v>78</v>
      </c>
      <c r="V54" s="283" t="s">
        <v>83</v>
      </c>
      <c r="W54" s="282" t="s">
        <v>76</v>
      </c>
      <c r="X54" s="282" t="s">
        <v>77</v>
      </c>
      <c r="Y54" s="282" t="s">
        <v>78</v>
      </c>
      <c r="Z54" s="283" t="s">
        <v>83</v>
      </c>
      <c r="AA54" s="282" t="s">
        <v>76</v>
      </c>
      <c r="AB54" s="282" t="s">
        <v>77</v>
      </c>
      <c r="AC54" s="282" t="s">
        <v>78</v>
      </c>
      <c r="AD54" s="283" t="s">
        <v>83</v>
      </c>
      <c r="AE54" s="282" t="s">
        <v>76</v>
      </c>
      <c r="AF54" s="282" t="s">
        <v>77</v>
      </c>
      <c r="AG54" s="282" t="s">
        <v>78</v>
      </c>
      <c r="AH54" s="283" t="s">
        <v>83</v>
      </c>
      <c r="AI54" s="218" t="s">
        <v>76</v>
      </c>
      <c r="AJ54" s="218" t="s">
        <v>77</v>
      </c>
      <c r="AK54" s="218" t="s">
        <v>78</v>
      </c>
      <c r="AL54" s="220" t="s">
        <v>83</v>
      </c>
      <c r="AM54" s="218" t="s">
        <v>76</v>
      </c>
      <c r="AN54" s="218" t="s">
        <v>77</v>
      </c>
      <c r="AO54" s="218" t="s">
        <v>78</v>
      </c>
      <c r="AP54" s="220" t="s">
        <v>83</v>
      </c>
      <c r="AQ54" s="218" t="s">
        <v>76</v>
      </c>
      <c r="AR54" s="218" t="s">
        <v>77</v>
      </c>
      <c r="AS54" s="218" t="s">
        <v>78</v>
      </c>
      <c r="AT54" s="220" t="s">
        <v>83</v>
      </c>
      <c r="AU54" s="218" t="s">
        <v>76</v>
      </c>
      <c r="AV54" s="218" t="s">
        <v>77</v>
      </c>
      <c r="AW54" s="218" t="s">
        <v>78</v>
      </c>
      <c r="AX54" s="220" t="s">
        <v>83</v>
      </c>
      <c r="AY54" s="218" t="s">
        <v>76</v>
      </c>
      <c r="AZ54" s="218" t="s">
        <v>77</v>
      </c>
      <c r="BA54" s="218" t="s">
        <v>78</v>
      </c>
      <c r="BB54" s="220" t="s">
        <v>83</v>
      </c>
      <c r="BC54" s="218" t="s">
        <v>76</v>
      </c>
      <c r="BD54" s="218" t="s">
        <v>77</v>
      </c>
      <c r="BE54" s="218" t="s">
        <v>78</v>
      </c>
      <c r="BF54" s="220" t="s">
        <v>83</v>
      </c>
      <c r="BG54" s="218" t="s">
        <v>76</v>
      </c>
      <c r="BH54" s="218" t="s">
        <v>77</v>
      </c>
      <c r="BI54" s="218" t="s">
        <v>78</v>
      </c>
      <c r="BJ54" s="220" t="s">
        <v>83</v>
      </c>
      <c r="BK54" s="218" t="s">
        <v>76</v>
      </c>
      <c r="BL54" s="218" t="s">
        <v>77</v>
      </c>
      <c r="BM54" s="218" t="s">
        <v>78</v>
      </c>
      <c r="BN54" s="220" t="s">
        <v>83</v>
      </c>
      <c r="BO54" s="266" t="s">
        <v>70</v>
      </c>
      <c r="BP54" s="282" t="s">
        <v>71</v>
      </c>
      <c r="BQ54" s="282" t="s">
        <v>72</v>
      </c>
      <c r="BR54" s="282" t="s">
        <v>73</v>
      </c>
      <c r="BS54" s="282" t="s">
        <v>74</v>
      </c>
      <c r="BT54" s="283" t="s">
        <v>75</v>
      </c>
      <c r="BU54" s="266" t="s">
        <v>70</v>
      </c>
      <c r="BV54" s="282" t="s">
        <v>71</v>
      </c>
      <c r="BW54" s="282" t="s">
        <v>72</v>
      </c>
      <c r="BX54" s="282" t="s">
        <v>73</v>
      </c>
      <c r="BY54" s="282" t="s">
        <v>74</v>
      </c>
      <c r="BZ54" s="283" t="s">
        <v>75</v>
      </c>
      <c r="CA54" s="266" t="s">
        <v>70</v>
      </c>
      <c r="CB54" s="282" t="s">
        <v>71</v>
      </c>
      <c r="CC54" s="282" t="s">
        <v>72</v>
      </c>
      <c r="CD54" s="282" t="s">
        <v>73</v>
      </c>
      <c r="CE54" s="282" t="s">
        <v>74</v>
      </c>
      <c r="CF54" s="283" t="s">
        <v>75</v>
      </c>
      <c r="CG54" s="266" t="s">
        <v>70</v>
      </c>
      <c r="CH54" s="282" t="s">
        <v>71</v>
      </c>
      <c r="CI54" s="282" t="s">
        <v>72</v>
      </c>
      <c r="CJ54" s="282" t="s">
        <v>73</v>
      </c>
      <c r="CK54" s="282" t="s">
        <v>74</v>
      </c>
      <c r="CL54" s="283" t="s">
        <v>75</v>
      </c>
      <c r="CM54" s="266" t="s">
        <v>70</v>
      </c>
      <c r="CN54" s="282" t="s">
        <v>71</v>
      </c>
      <c r="CO54" s="282" t="s">
        <v>72</v>
      </c>
      <c r="CP54" s="282" t="s">
        <v>73</v>
      </c>
      <c r="CQ54" s="282" t="s">
        <v>74</v>
      </c>
      <c r="CR54" s="283" t="s">
        <v>75</v>
      </c>
      <c r="CS54" s="221" t="s">
        <v>70</v>
      </c>
      <c r="CT54" s="218" t="s">
        <v>71</v>
      </c>
      <c r="CU54" s="218" t="s">
        <v>72</v>
      </c>
      <c r="CV54" s="218" t="s">
        <v>73</v>
      </c>
      <c r="CW54" s="218" t="s">
        <v>74</v>
      </c>
      <c r="CX54" s="220" t="s">
        <v>75</v>
      </c>
      <c r="CY54" s="221" t="s">
        <v>70</v>
      </c>
      <c r="CZ54" s="218" t="s">
        <v>71</v>
      </c>
      <c r="DA54" s="218" t="s">
        <v>72</v>
      </c>
      <c r="DB54" s="218" t="s">
        <v>73</v>
      </c>
      <c r="DC54" s="218" t="s">
        <v>74</v>
      </c>
      <c r="DD54" s="220" t="s">
        <v>75</v>
      </c>
      <c r="DE54" s="221" t="s">
        <v>70</v>
      </c>
      <c r="DF54" s="218" t="s">
        <v>71</v>
      </c>
      <c r="DG54" s="218" t="s">
        <v>72</v>
      </c>
      <c r="DH54" s="218" t="s">
        <v>73</v>
      </c>
      <c r="DI54" s="218" t="s">
        <v>74</v>
      </c>
      <c r="DJ54" s="220" t="s">
        <v>75</v>
      </c>
      <c r="DK54" s="221" t="s">
        <v>70</v>
      </c>
      <c r="DL54" s="218" t="s">
        <v>71</v>
      </c>
      <c r="DM54" s="218" t="s">
        <v>72</v>
      </c>
      <c r="DN54" s="218" t="s">
        <v>73</v>
      </c>
      <c r="DO54" s="218" t="s">
        <v>74</v>
      </c>
      <c r="DP54" s="220" t="s">
        <v>75</v>
      </c>
      <c r="DQ54" s="221" t="s">
        <v>70</v>
      </c>
      <c r="DR54" s="218" t="s">
        <v>71</v>
      </c>
      <c r="DS54" s="218" t="s">
        <v>72</v>
      </c>
      <c r="DT54" s="218" t="s">
        <v>73</v>
      </c>
      <c r="DU54" s="218" t="s">
        <v>74</v>
      </c>
      <c r="DV54" s="220" t="s">
        <v>75</v>
      </c>
      <c r="DW54" s="221" t="s">
        <v>70</v>
      </c>
      <c r="DX54" s="218" t="s">
        <v>71</v>
      </c>
      <c r="DY54" s="218" t="s">
        <v>72</v>
      </c>
      <c r="DZ54" s="218" t="s">
        <v>73</v>
      </c>
      <c r="EA54" s="218" t="s">
        <v>74</v>
      </c>
      <c r="EB54" s="220" t="s">
        <v>75</v>
      </c>
      <c r="EC54" s="221" t="s">
        <v>70</v>
      </c>
      <c r="ED54" s="218" t="s">
        <v>71</v>
      </c>
      <c r="EE54" s="218" t="s">
        <v>72</v>
      </c>
      <c r="EF54" s="218" t="s">
        <v>73</v>
      </c>
      <c r="EG54" s="218" t="s">
        <v>74</v>
      </c>
      <c r="EH54" s="220" t="s">
        <v>75</v>
      </c>
      <c r="EI54" s="221" t="s">
        <v>70</v>
      </c>
      <c r="EJ54" s="218" t="s">
        <v>71</v>
      </c>
      <c r="EK54" s="218" t="s">
        <v>72</v>
      </c>
      <c r="EL54" s="218" t="s">
        <v>73</v>
      </c>
      <c r="EM54" s="218" t="s">
        <v>74</v>
      </c>
      <c r="EN54" s="220" t="s">
        <v>75</v>
      </c>
    </row>
    <row r="55" spans="1:144" ht="12" customHeight="1" x14ac:dyDescent="0.2">
      <c r="A55" s="222" t="s">
        <v>17</v>
      </c>
      <c r="B55" s="223">
        <v>501</v>
      </c>
      <c r="C55" s="224">
        <v>28312.042213301247</v>
      </c>
      <c r="D55" s="225">
        <v>1458</v>
      </c>
      <c r="E55" s="226">
        <v>1024</v>
      </c>
      <c r="F55" s="226">
        <v>501.51009322745114</v>
      </c>
      <c r="G55" s="227">
        <v>648.9655697692009</v>
      </c>
      <c r="H55" s="228">
        <v>44.510670080192106</v>
      </c>
      <c r="I55" s="228">
        <v>53.892215568862277</v>
      </c>
      <c r="J55" s="228">
        <v>9.3812375249500999</v>
      </c>
      <c r="K55" s="228">
        <v>7.5848303393213579</v>
      </c>
      <c r="L55" s="228">
        <v>8.5828343313373257</v>
      </c>
      <c r="M55" s="228">
        <v>6.1876247504990021</v>
      </c>
      <c r="N55" s="228">
        <v>14.37125748502994</v>
      </c>
      <c r="O55" s="229">
        <v>4.3891170226484073</v>
      </c>
      <c r="P55" s="230">
        <v>1.2370415724493731</v>
      </c>
      <c r="Q55" s="231">
        <v>1.5687566773791308</v>
      </c>
      <c r="R55" s="232">
        <v>35.741965167120057</v>
      </c>
      <c r="S55" s="229">
        <v>5.3311725541226682</v>
      </c>
      <c r="T55" s="230">
        <v>1.6919516225097131</v>
      </c>
      <c r="U55" s="231">
        <v>2.1598499550442227</v>
      </c>
      <c r="V55" s="232">
        <v>40.513600584433931</v>
      </c>
      <c r="W55" s="229">
        <v>5.6704831996424439</v>
      </c>
      <c r="X55" s="230">
        <v>2.0278311330828052</v>
      </c>
      <c r="Y55" s="231">
        <v>2.6415517745851007</v>
      </c>
      <c r="Z55" s="232">
        <v>46.584244791549075</v>
      </c>
      <c r="AA55" s="229">
        <v>5.8485927978813628</v>
      </c>
      <c r="AB55" s="230">
        <v>2.8399323950511342</v>
      </c>
      <c r="AC55" s="231">
        <v>3.7579908996723006</v>
      </c>
      <c r="AD55" s="232">
        <v>64.254616957323876</v>
      </c>
      <c r="AE55" s="229">
        <v>5.9835784286139626</v>
      </c>
      <c r="AF55" s="230">
        <v>2.3674185267257406</v>
      </c>
      <c r="AG55" s="231">
        <v>3.1401828846296107</v>
      </c>
      <c r="AH55" s="232">
        <v>52.480015463873578</v>
      </c>
      <c r="AI55" s="229">
        <v>4.9756528814900527</v>
      </c>
      <c r="AJ55" s="230">
        <v>1.3641795084110775</v>
      </c>
      <c r="AK55" s="231">
        <v>1.8299692264422696</v>
      </c>
      <c r="AL55" s="232">
        <v>36.778474504319746</v>
      </c>
      <c r="AM55" s="229">
        <v>5.0376016580542258</v>
      </c>
      <c r="AN55" s="230">
        <v>0.79656703630892833</v>
      </c>
      <c r="AO55" s="231">
        <v>1.0528907425730192</v>
      </c>
      <c r="AP55" s="232">
        <v>20.900635144297976</v>
      </c>
      <c r="AQ55" s="229">
        <v>5.010020282744966</v>
      </c>
      <c r="AR55" s="230">
        <v>1.6320967295410205</v>
      </c>
      <c r="AS55" s="231">
        <v>2.0639805064583587</v>
      </c>
      <c r="AT55" s="232">
        <v>41.1970489134929</v>
      </c>
      <c r="AU55" s="229">
        <v>5.3105951033979872</v>
      </c>
      <c r="AV55" s="230">
        <v>0.84450797653797638</v>
      </c>
      <c r="AW55" s="231">
        <v>1.0469368548092517</v>
      </c>
      <c r="AX55" s="232">
        <v>19.714115544967242</v>
      </c>
      <c r="AY55" s="229">
        <v>5.5198947948283585</v>
      </c>
      <c r="AZ55" s="230">
        <v>2.6758924716904016</v>
      </c>
      <c r="BA55" s="231">
        <v>3.7807283911645633</v>
      </c>
      <c r="BB55" s="232">
        <v>68.492761758915478</v>
      </c>
      <c r="BC55" s="229">
        <v>5.1126682353418369</v>
      </c>
      <c r="BD55" s="230">
        <v>3.0199392285056139</v>
      </c>
      <c r="BE55" s="231">
        <v>3.8120028106090902</v>
      </c>
      <c r="BF55" s="232">
        <v>74.559948644002247</v>
      </c>
      <c r="BG55" s="229">
        <v>5.3782620303271393</v>
      </c>
      <c r="BH55" s="230">
        <v>1.9189553961954142</v>
      </c>
      <c r="BI55" s="231">
        <v>2.5088482478108709</v>
      </c>
      <c r="BJ55" s="232">
        <v>46.647936334523806</v>
      </c>
      <c r="BK55" s="229">
        <v>5.1108883238474219</v>
      </c>
      <c r="BL55" s="230">
        <v>1.1203773955234733</v>
      </c>
      <c r="BM55" s="231">
        <v>1.4076962772449786</v>
      </c>
      <c r="BN55" s="232">
        <v>27.54308425556205</v>
      </c>
      <c r="BO55" s="233">
        <v>64.010989010989007</v>
      </c>
      <c r="BP55" s="234">
        <v>6.0439560439560438</v>
      </c>
      <c r="BQ55" s="234">
        <v>3.8461538461538463</v>
      </c>
      <c r="BR55" s="234">
        <v>5.2197802197802199</v>
      </c>
      <c r="BS55" s="234">
        <v>5.2197802197802199</v>
      </c>
      <c r="BT55" s="232">
        <v>15.659340659340659</v>
      </c>
      <c r="BU55" s="233">
        <v>33.75</v>
      </c>
      <c r="BV55" s="234">
        <v>12.5</v>
      </c>
      <c r="BW55" s="234">
        <v>16.25</v>
      </c>
      <c r="BX55" s="234">
        <v>17.5</v>
      </c>
      <c r="BY55" s="234">
        <v>6.25</v>
      </c>
      <c r="BZ55" s="232">
        <v>13.750000000000002</v>
      </c>
      <c r="CA55" s="233">
        <v>17.777777777777779</v>
      </c>
      <c r="CB55" s="234">
        <v>28.888888888888886</v>
      </c>
      <c r="CC55" s="234">
        <v>22.222222222222221</v>
      </c>
      <c r="CD55" s="234">
        <v>17.777777777777779</v>
      </c>
      <c r="CE55" s="234">
        <v>8.8888888888888893</v>
      </c>
      <c r="CF55" s="232">
        <v>4.4444444444444446</v>
      </c>
      <c r="CG55" s="233">
        <v>10</v>
      </c>
      <c r="CH55" s="234">
        <v>20</v>
      </c>
      <c r="CI55" s="234">
        <v>10</v>
      </c>
      <c r="CJ55" s="234">
        <v>20</v>
      </c>
      <c r="CK55" s="234">
        <v>20</v>
      </c>
      <c r="CL55" s="232">
        <v>20</v>
      </c>
      <c r="CM55" s="233">
        <v>50</v>
      </c>
      <c r="CN55" s="234">
        <v>0</v>
      </c>
      <c r="CO55" s="234">
        <v>0</v>
      </c>
      <c r="CP55" s="234">
        <v>0</v>
      </c>
      <c r="CQ55" s="234">
        <v>50</v>
      </c>
      <c r="CR55" s="232">
        <v>0</v>
      </c>
      <c r="CS55" s="233">
        <v>60.810810810810814</v>
      </c>
      <c r="CT55" s="234">
        <v>4.0540540540540544</v>
      </c>
      <c r="CU55" s="234">
        <v>5.4054054054054053</v>
      </c>
      <c r="CV55" s="234">
        <v>8.1081081081081088</v>
      </c>
      <c r="CW55" s="234">
        <v>6.756756756756757</v>
      </c>
      <c r="CX55" s="232">
        <v>14.864864864864865</v>
      </c>
      <c r="CY55" s="233">
        <v>64.583333333333343</v>
      </c>
      <c r="CZ55" s="234">
        <v>10.416666666666668</v>
      </c>
      <c r="DA55" s="234">
        <v>6.25</v>
      </c>
      <c r="DB55" s="234">
        <v>8.3333333333333321</v>
      </c>
      <c r="DC55" s="234">
        <v>0</v>
      </c>
      <c r="DD55" s="232">
        <v>10.416666666666668</v>
      </c>
      <c r="DE55" s="233">
        <v>49.668874172185426</v>
      </c>
      <c r="DF55" s="234">
        <v>10.596026490066226</v>
      </c>
      <c r="DG55" s="234">
        <v>9.2715231788079464</v>
      </c>
      <c r="DH55" s="234">
        <v>9.9337748344370862</v>
      </c>
      <c r="DI55" s="234">
        <v>5.298013245033113</v>
      </c>
      <c r="DJ55" s="232">
        <v>15.231788079470199</v>
      </c>
      <c r="DK55" s="233">
        <v>62.5</v>
      </c>
      <c r="DL55" s="234">
        <v>12.5</v>
      </c>
      <c r="DM55" s="234">
        <v>12.5</v>
      </c>
      <c r="DN55" s="234">
        <v>0</v>
      </c>
      <c r="DO55" s="234">
        <v>12.5</v>
      </c>
      <c r="DP55" s="232">
        <v>0</v>
      </c>
      <c r="DQ55" s="233">
        <v>54.54545454545454</v>
      </c>
      <c r="DR55" s="234">
        <v>9.0909090909090917</v>
      </c>
      <c r="DS55" s="234">
        <v>9.0909090909090917</v>
      </c>
      <c r="DT55" s="234">
        <v>0</v>
      </c>
      <c r="DU55" s="234">
        <v>9.0909090909090917</v>
      </c>
      <c r="DV55" s="232">
        <v>18.181818181818183</v>
      </c>
      <c r="DW55" s="233">
        <v>57.333333333333336</v>
      </c>
      <c r="DX55" s="234">
        <v>13.333333333333334</v>
      </c>
      <c r="DY55" s="234">
        <v>5.3333333333333339</v>
      </c>
      <c r="DZ55" s="234">
        <v>2.666666666666667</v>
      </c>
      <c r="EA55" s="234">
        <v>4</v>
      </c>
      <c r="EB55" s="232">
        <v>17.333333333333336</v>
      </c>
      <c r="EC55" s="233">
        <v>45.652173913043477</v>
      </c>
      <c r="ED55" s="234">
        <v>8.695652173913043</v>
      </c>
      <c r="EE55" s="234">
        <v>8.695652173913043</v>
      </c>
      <c r="EF55" s="234">
        <v>11.956521739130435</v>
      </c>
      <c r="EG55" s="234">
        <v>10.869565217391305</v>
      </c>
      <c r="EH55" s="232">
        <v>14.130434782608695</v>
      </c>
      <c r="EI55" s="233">
        <v>53.846153846153847</v>
      </c>
      <c r="EJ55" s="234">
        <v>7.6923076923076925</v>
      </c>
      <c r="EK55" s="234">
        <v>5.1282051282051277</v>
      </c>
      <c r="EL55" s="234">
        <v>12.820512820512819</v>
      </c>
      <c r="EM55" s="234">
        <v>7.6923076923076925</v>
      </c>
      <c r="EN55" s="235">
        <v>12.820512820512819</v>
      </c>
    </row>
    <row r="56" spans="1:144" ht="12" customHeight="1" x14ac:dyDescent="0.2">
      <c r="A56" s="236" t="s">
        <v>18</v>
      </c>
      <c r="B56" s="237">
        <v>638</v>
      </c>
      <c r="C56" s="224">
        <v>39405.404551817475</v>
      </c>
      <c r="D56" s="224">
        <v>2047</v>
      </c>
      <c r="E56" s="226">
        <v>975</v>
      </c>
      <c r="F56" s="226">
        <v>696.07176160917993</v>
      </c>
      <c r="G56" s="238">
        <v>897.27812838132195</v>
      </c>
      <c r="H56" s="228">
        <v>43.83381184080713</v>
      </c>
      <c r="I56" s="239">
        <v>47.492163009404386</v>
      </c>
      <c r="J56" s="239">
        <v>9.5611285266457671</v>
      </c>
      <c r="K56" s="239">
        <v>9.4043887147335425</v>
      </c>
      <c r="L56" s="239">
        <v>8.4639498432601883</v>
      </c>
      <c r="M56" s="239">
        <v>6.8965517241379306</v>
      </c>
      <c r="N56" s="239">
        <v>18.181818181818183</v>
      </c>
      <c r="O56" s="240">
        <v>4.399161907637688</v>
      </c>
      <c r="P56" s="241">
        <v>1.6067661729423259</v>
      </c>
      <c r="Q56" s="242">
        <v>2.0257821106149776</v>
      </c>
      <c r="R56" s="243">
        <v>46.049273774122234</v>
      </c>
      <c r="S56" s="240">
        <v>5.3616518889387104</v>
      </c>
      <c r="T56" s="241">
        <v>2.050450555003537</v>
      </c>
      <c r="U56" s="242">
        <v>2.7495230079938047</v>
      </c>
      <c r="V56" s="243">
        <v>51.281266761577236</v>
      </c>
      <c r="W56" s="240">
        <v>5.6389111817247786</v>
      </c>
      <c r="X56" s="241">
        <v>1.8860906190331255</v>
      </c>
      <c r="Y56" s="242">
        <v>2.4771746325973276</v>
      </c>
      <c r="Z56" s="243">
        <v>43.930016855481526</v>
      </c>
      <c r="AA56" s="240">
        <v>5.8731931645787743</v>
      </c>
      <c r="AB56" s="241">
        <v>2.00068141217836</v>
      </c>
      <c r="AC56" s="242">
        <v>2.5867503644060279</v>
      </c>
      <c r="AD56" s="243">
        <v>44.043338809401298</v>
      </c>
      <c r="AE56" s="240">
        <v>5.9614075646610347</v>
      </c>
      <c r="AF56" s="241">
        <v>1.3486776939480942</v>
      </c>
      <c r="AG56" s="242">
        <v>1.612416443802132</v>
      </c>
      <c r="AH56" s="243">
        <v>27.047579389815024</v>
      </c>
      <c r="AI56" s="240">
        <v>5.2218085152306548</v>
      </c>
      <c r="AJ56" s="241">
        <v>1.8624576531461112</v>
      </c>
      <c r="AK56" s="242">
        <v>2.4205046104796528</v>
      </c>
      <c r="AL56" s="243">
        <v>46.353760453292608</v>
      </c>
      <c r="AM56" s="240">
        <v>5.2870722456623769</v>
      </c>
      <c r="AN56" s="241">
        <v>1.2438150996205157</v>
      </c>
      <c r="AO56" s="242">
        <v>1.6109194657552284</v>
      </c>
      <c r="AP56" s="243">
        <v>30.469026918950469</v>
      </c>
      <c r="AQ56" s="240">
        <v>5.2322432379767561</v>
      </c>
      <c r="AR56" s="241">
        <v>1.8433375864388517</v>
      </c>
      <c r="AS56" s="242">
        <v>2.365226811088549</v>
      </c>
      <c r="AT56" s="243">
        <v>45.204832870177363</v>
      </c>
      <c r="AU56" s="240">
        <v>5.5101813209255797</v>
      </c>
      <c r="AV56" s="241">
        <v>1.1876918523186226</v>
      </c>
      <c r="AW56" s="242">
        <v>1.3023915766583181</v>
      </c>
      <c r="AX56" s="243">
        <v>23.636092912447886</v>
      </c>
      <c r="AY56" s="240">
        <v>5.5390918781735943</v>
      </c>
      <c r="AZ56" s="241">
        <v>1.74176236502953</v>
      </c>
      <c r="BA56" s="242">
        <v>2.3258095775336169</v>
      </c>
      <c r="BB56" s="243">
        <v>41.989005213982956</v>
      </c>
      <c r="BC56" s="240">
        <v>5.0593616272102899</v>
      </c>
      <c r="BD56" s="241">
        <v>1.9212004886160026</v>
      </c>
      <c r="BE56" s="242">
        <v>2.4289987454975956</v>
      </c>
      <c r="BF56" s="243">
        <v>48.009984746572364</v>
      </c>
      <c r="BG56" s="240">
        <v>5.3167890815637424</v>
      </c>
      <c r="BH56" s="241">
        <v>1.6854090313952914</v>
      </c>
      <c r="BI56" s="242">
        <v>2.1914101948877862</v>
      </c>
      <c r="BJ56" s="243">
        <v>41.216797606032962</v>
      </c>
      <c r="BK56" s="240">
        <v>4.7363576245638948</v>
      </c>
      <c r="BL56" s="241">
        <v>1.9832040016328503</v>
      </c>
      <c r="BM56" s="242">
        <v>2.5838325017613255</v>
      </c>
      <c r="BN56" s="243">
        <v>54.553154693407144</v>
      </c>
      <c r="BO56" s="244">
        <v>57.01559020044543</v>
      </c>
      <c r="BP56" s="245">
        <v>5.7906458797327396</v>
      </c>
      <c r="BQ56" s="245">
        <v>5.1224944320712691</v>
      </c>
      <c r="BR56" s="245">
        <v>6.4587973273942101</v>
      </c>
      <c r="BS56" s="245">
        <v>6.2360801781737196</v>
      </c>
      <c r="BT56" s="243">
        <v>19.376391982182628</v>
      </c>
      <c r="BU56" s="244">
        <v>33.333333333333329</v>
      </c>
      <c r="BV56" s="245">
        <v>11.965811965811966</v>
      </c>
      <c r="BW56" s="245">
        <v>12.820512820512819</v>
      </c>
      <c r="BX56" s="245">
        <v>15.384615384615385</v>
      </c>
      <c r="BY56" s="245">
        <v>6.8376068376068382</v>
      </c>
      <c r="BZ56" s="243">
        <v>19.658119658119659</v>
      </c>
      <c r="CA56" s="244">
        <v>15.384615384615385</v>
      </c>
      <c r="CB56" s="245">
        <v>28.846153846153843</v>
      </c>
      <c r="CC56" s="245">
        <v>21.153846153846153</v>
      </c>
      <c r="CD56" s="245">
        <v>11.538461538461538</v>
      </c>
      <c r="CE56" s="245">
        <v>15.384615384615385</v>
      </c>
      <c r="CF56" s="243">
        <v>7.6923076923076925</v>
      </c>
      <c r="CG56" s="244">
        <v>0</v>
      </c>
      <c r="CH56" s="245">
        <v>14.285714285714285</v>
      </c>
      <c r="CI56" s="245">
        <v>71.428571428571431</v>
      </c>
      <c r="CJ56" s="245">
        <v>0</v>
      </c>
      <c r="CK56" s="245">
        <v>0</v>
      </c>
      <c r="CL56" s="243">
        <v>14.285714285714285</v>
      </c>
      <c r="CM56" s="244">
        <v>0</v>
      </c>
      <c r="CN56" s="245">
        <v>66.666666666666657</v>
      </c>
      <c r="CO56" s="245">
        <v>16.666666666666664</v>
      </c>
      <c r="CP56" s="245">
        <v>16.666666666666664</v>
      </c>
      <c r="CQ56" s="245">
        <v>0</v>
      </c>
      <c r="CR56" s="243">
        <v>0</v>
      </c>
      <c r="CS56" s="244">
        <v>40</v>
      </c>
      <c r="CT56" s="245">
        <v>13.750000000000002</v>
      </c>
      <c r="CU56" s="245">
        <v>10</v>
      </c>
      <c r="CV56" s="245">
        <v>10</v>
      </c>
      <c r="CW56" s="245">
        <v>6.25</v>
      </c>
      <c r="CX56" s="243">
        <v>20</v>
      </c>
      <c r="CY56" s="244">
        <v>60.714285714285708</v>
      </c>
      <c r="CZ56" s="245">
        <v>3.5714285714285712</v>
      </c>
      <c r="DA56" s="245">
        <v>8.9285714285714288</v>
      </c>
      <c r="DB56" s="245">
        <v>8.9285714285714288</v>
      </c>
      <c r="DC56" s="245">
        <v>5.3571428571428568</v>
      </c>
      <c r="DD56" s="243">
        <v>12.5</v>
      </c>
      <c r="DE56" s="244">
        <v>43.093922651933703</v>
      </c>
      <c r="DF56" s="245">
        <v>15.469613259668508</v>
      </c>
      <c r="DG56" s="245">
        <v>8.8397790055248606</v>
      </c>
      <c r="DH56" s="245">
        <v>7.1823204419889501</v>
      </c>
      <c r="DI56" s="245">
        <v>7.1823204419889501</v>
      </c>
      <c r="DJ56" s="243">
        <v>18.232044198895029</v>
      </c>
      <c r="DK56" s="244">
        <v>70</v>
      </c>
      <c r="DL56" s="245">
        <v>0</v>
      </c>
      <c r="DM56" s="245">
        <v>20</v>
      </c>
      <c r="DN56" s="245">
        <v>0</v>
      </c>
      <c r="DO56" s="245">
        <v>0</v>
      </c>
      <c r="DP56" s="243">
        <v>10</v>
      </c>
      <c r="DQ56" s="244">
        <v>35</v>
      </c>
      <c r="DR56" s="245">
        <v>10</v>
      </c>
      <c r="DS56" s="245">
        <v>25</v>
      </c>
      <c r="DT56" s="245">
        <v>10</v>
      </c>
      <c r="DU56" s="245">
        <v>15</v>
      </c>
      <c r="DV56" s="243">
        <v>5</v>
      </c>
      <c r="DW56" s="244">
        <v>46.067415730337082</v>
      </c>
      <c r="DX56" s="245">
        <v>10.112359550561797</v>
      </c>
      <c r="DY56" s="245">
        <v>10.112359550561797</v>
      </c>
      <c r="DZ56" s="245">
        <v>7.8651685393258424</v>
      </c>
      <c r="EA56" s="245">
        <v>10.112359550561797</v>
      </c>
      <c r="EB56" s="243">
        <v>15.730337078651685</v>
      </c>
      <c r="EC56" s="244">
        <v>57.446808510638306</v>
      </c>
      <c r="ED56" s="245">
        <v>6.3829787234042552</v>
      </c>
      <c r="EE56" s="245">
        <v>5.3191489361702127</v>
      </c>
      <c r="EF56" s="245">
        <v>11.702127659574469</v>
      </c>
      <c r="EG56" s="245">
        <v>2.1276595744680851</v>
      </c>
      <c r="EH56" s="243">
        <v>17.021276595744681</v>
      </c>
      <c r="EI56" s="244">
        <v>45.794392523364486</v>
      </c>
      <c r="EJ56" s="245">
        <v>2.8037383177570092</v>
      </c>
      <c r="EK56" s="245">
        <v>9.3457943925233646</v>
      </c>
      <c r="EL56" s="245">
        <v>7.4766355140186906</v>
      </c>
      <c r="EM56" s="245">
        <v>8.4112149532710276</v>
      </c>
      <c r="EN56" s="246">
        <v>26.168224299065418</v>
      </c>
    </row>
    <row r="57" spans="1:144" ht="12" customHeight="1" x14ac:dyDescent="0.2">
      <c r="A57" s="236" t="s">
        <v>19</v>
      </c>
      <c r="B57" s="237">
        <v>256</v>
      </c>
      <c r="C57" s="224">
        <v>14259.899029381821</v>
      </c>
      <c r="D57" s="224">
        <v>737</v>
      </c>
      <c r="E57" s="226">
        <v>356</v>
      </c>
      <c r="F57" s="226">
        <v>232.95198223242116</v>
      </c>
      <c r="G57" s="238">
        <v>285.37988237117929</v>
      </c>
      <c r="H57" s="228">
        <v>38.721829358368971</v>
      </c>
      <c r="I57" s="239">
        <v>49.21875</v>
      </c>
      <c r="J57" s="239">
        <v>9.765625</v>
      </c>
      <c r="K57" s="239">
        <v>11.328125</v>
      </c>
      <c r="L57" s="239">
        <v>7.03125</v>
      </c>
      <c r="M57" s="239">
        <v>7.03125</v>
      </c>
      <c r="N57" s="239">
        <v>15.625</v>
      </c>
      <c r="O57" s="240">
        <v>4.4194859692792736</v>
      </c>
      <c r="P57" s="241">
        <v>1.4712561453029767</v>
      </c>
      <c r="Q57" s="242">
        <v>1.8046238780335966</v>
      </c>
      <c r="R57" s="243">
        <v>40.833343302318333</v>
      </c>
      <c r="S57" s="240">
        <v>5.5115710122858212</v>
      </c>
      <c r="T57" s="241">
        <v>1.1116541730465326</v>
      </c>
      <c r="U57" s="242">
        <v>1.4066720769881345</v>
      </c>
      <c r="V57" s="243">
        <v>25.522161899983274</v>
      </c>
      <c r="W57" s="240">
        <v>5.6551928840016803</v>
      </c>
      <c r="X57" s="241">
        <v>2.1923054971134848</v>
      </c>
      <c r="Y57" s="242">
        <v>2.6151331958285864</v>
      </c>
      <c r="Z57" s="243">
        <v>46.243041563209921</v>
      </c>
      <c r="AA57" s="240">
        <v>5.8366047291485126</v>
      </c>
      <c r="AB57" s="241">
        <v>1.5987277124328478</v>
      </c>
      <c r="AC57" s="242">
        <v>1.9943951399308422</v>
      </c>
      <c r="AD57" s="243">
        <v>34.170467805891654</v>
      </c>
      <c r="AE57" s="240">
        <v>5.9479335628821408</v>
      </c>
      <c r="AF57" s="241">
        <v>1.7629383472969349</v>
      </c>
      <c r="AG57" s="242">
        <v>2.3142050088027024</v>
      </c>
      <c r="AH57" s="243">
        <v>38.907714491708731</v>
      </c>
      <c r="AI57" s="240">
        <v>4.8534720153243445</v>
      </c>
      <c r="AJ57" s="241">
        <v>1.2908276605054145</v>
      </c>
      <c r="AK57" s="242">
        <v>1.5871161874683126</v>
      </c>
      <c r="AL57" s="243">
        <v>32.700635389617048</v>
      </c>
      <c r="AM57" s="240">
        <v>5.2514228437110955</v>
      </c>
      <c r="AN57" s="241">
        <v>1.3616177919206223</v>
      </c>
      <c r="AO57" s="242">
        <v>1.8286851471332033</v>
      </c>
      <c r="AP57" s="243">
        <v>34.822660478067711</v>
      </c>
      <c r="AQ57" s="240">
        <v>4.9387880121008605</v>
      </c>
      <c r="AR57" s="241">
        <v>1.5067752147747993</v>
      </c>
      <c r="AS57" s="242">
        <v>1.7536170453084459</v>
      </c>
      <c r="AT57" s="243">
        <v>35.507032110140983</v>
      </c>
      <c r="AU57" s="240">
        <v>4.468387281227896</v>
      </c>
      <c r="AV57" s="241">
        <v>3.4951358049056558</v>
      </c>
      <c r="AW57" s="242">
        <v>3.4951358049056558</v>
      </c>
      <c r="AX57" s="243">
        <v>78.219178082191789</v>
      </c>
      <c r="AY57" s="240">
        <v>5.2044567051357484</v>
      </c>
      <c r="AZ57" s="241">
        <v>2.2496569971762068</v>
      </c>
      <c r="BA57" s="242">
        <v>2.9633571807010752</v>
      </c>
      <c r="BB57" s="243">
        <v>56.938838164929692</v>
      </c>
      <c r="BC57" s="240">
        <v>5.2262359167134571</v>
      </c>
      <c r="BD57" s="241">
        <v>1.0125175731683553</v>
      </c>
      <c r="BE57" s="242">
        <v>1.2803181271414816</v>
      </c>
      <c r="BF57" s="243">
        <v>24.497901502054955</v>
      </c>
      <c r="BG57" s="240">
        <v>5.4534316554912055</v>
      </c>
      <c r="BH57" s="241">
        <v>2.4381969754410284</v>
      </c>
      <c r="BI57" s="242">
        <v>2.926995932001335</v>
      </c>
      <c r="BJ57" s="243">
        <v>53.672551833560902</v>
      </c>
      <c r="BK57" s="240">
        <v>5.2357309831986694</v>
      </c>
      <c r="BL57" s="241">
        <v>2.1215912689648118</v>
      </c>
      <c r="BM57" s="242">
        <v>2.5645656981512879</v>
      </c>
      <c r="BN57" s="243">
        <v>48.981999006077956</v>
      </c>
      <c r="BO57" s="244">
        <v>58.288770053475936</v>
      </c>
      <c r="BP57" s="245">
        <v>5.8823529411764701</v>
      </c>
      <c r="BQ57" s="245">
        <v>4.2780748663101598</v>
      </c>
      <c r="BR57" s="245">
        <v>5.3475935828877006</v>
      </c>
      <c r="BS57" s="245">
        <v>8.0213903743315509</v>
      </c>
      <c r="BT57" s="243">
        <v>18.181818181818183</v>
      </c>
      <c r="BU57" s="244">
        <v>39.473684210526315</v>
      </c>
      <c r="BV57" s="245">
        <v>10.526315789473683</v>
      </c>
      <c r="BW57" s="245">
        <v>26.315789473684209</v>
      </c>
      <c r="BX57" s="245">
        <v>18.421052631578945</v>
      </c>
      <c r="BY57" s="245">
        <v>2.6315789473684208</v>
      </c>
      <c r="BZ57" s="243">
        <v>2.6315789473684208</v>
      </c>
      <c r="CA57" s="244">
        <v>7.6923076923076925</v>
      </c>
      <c r="CB57" s="245">
        <v>30.76923076923077</v>
      </c>
      <c r="CC57" s="245">
        <v>34.615384615384613</v>
      </c>
      <c r="CD57" s="245">
        <v>3.8461538461538463</v>
      </c>
      <c r="CE57" s="245">
        <v>3.8461538461538463</v>
      </c>
      <c r="CF57" s="243">
        <v>19.230769230769234</v>
      </c>
      <c r="CG57" s="244">
        <v>0</v>
      </c>
      <c r="CH57" s="245">
        <v>50</v>
      </c>
      <c r="CI57" s="245">
        <v>25</v>
      </c>
      <c r="CJ57" s="245">
        <v>0</v>
      </c>
      <c r="CK57" s="245">
        <v>25</v>
      </c>
      <c r="CL57" s="243">
        <v>0</v>
      </c>
      <c r="CM57" s="244">
        <v>0</v>
      </c>
      <c r="CN57" s="245">
        <v>0</v>
      </c>
      <c r="CO57" s="245">
        <v>100</v>
      </c>
      <c r="CP57" s="245">
        <v>0</v>
      </c>
      <c r="CQ57" s="245">
        <v>0</v>
      </c>
      <c r="CR57" s="243">
        <v>0</v>
      </c>
      <c r="CS57" s="244">
        <v>63.414634146341463</v>
      </c>
      <c r="CT57" s="245">
        <v>7.3170731707317067</v>
      </c>
      <c r="CU57" s="245">
        <v>12.195121951219512</v>
      </c>
      <c r="CV57" s="245">
        <v>2.4390243902439024</v>
      </c>
      <c r="CW57" s="245">
        <v>4.8780487804878048</v>
      </c>
      <c r="CX57" s="243">
        <v>9.7560975609756095</v>
      </c>
      <c r="CY57" s="244">
        <v>53.846153846153847</v>
      </c>
      <c r="CZ57" s="245">
        <v>5.1282051282051277</v>
      </c>
      <c r="DA57" s="245">
        <v>17.948717948717949</v>
      </c>
      <c r="DB57" s="245">
        <v>7.6923076923076925</v>
      </c>
      <c r="DC57" s="245">
        <v>2.5641025641025639</v>
      </c>
      <c r="DD57" s="243">
        <v>12.820512820512819</v>
      </c>
      <c r="DE57" s="244">
        <v>50</v>
      </c>
      <c r="DF57" s="245">
        <v>12.820512820512819</v>
      </c>
      <c r="DG57" s="245">
        <v>7.6923076923076925</v>
      </c>
      <c r="DH57" s="245">
        <v>6.4102564102564097</v>
      </c>
      <c r="DI57" s="245">
        <v>5.1282051282051277</v>
      </c>
      <c r="DJ57" s="243">
        <v>17.948717948717949</v>
      </c>
      <c r="DK57" s="244">
        <v>0</v>
      </c>
      <c r="DL57" s="245">
        <v>0</v>
      </c>
      <c r="DM57" s="245">
        <v>0</v>
      </c>
      <c r="DN57" s="245">
        <v>0</v>
      </c>
      <c r="DO57" s="245">
        <v>100</v>
      </c>
      <c r="DP57" s="243">
        <v>0</v>
      </c>
      <c r="DQ57" s="244">
        <v>25</v>
      </c>
      <c r="DR57" s="245">
        <v>0</v>
      </c>
      <c r="DS57" s="245">
        <v>0</v>
      </c>
      <c r="DT57" s="245">
        <v>75</v>
      </c>
      <c r="DU57" s="245">
        <v>0</v>
      </c>
      <c r="DV57" s="243">
        <v>0</v>
      </c>
      <c r="DW57" s="244">
        <v>48.648648648648653</v>
      </c>
      <c r="DX57" s="245">
        <v>13.513513513513514</v>
      </c>
      <c r="DY57" s="245">
        <v>10.810810810810811</v>
      </c>
      <c r="DZ57" s="245">
        <v>13.513513513513514</v>
      </c>
      <c r="EA57" s="245">
        <v>2.7027027027027026</v>
      </c>
      <c r="EB57" s="243">
        <v>10.810810810810811</v>
      </c>
      <c r="EC57" s="244">
        <v>36.585365853658537</v>
      </c>
      <c r="ED57" s="245">
        <v>9.7560975609756095</v>
      </c>
      <c r="EE57" s="245">
        <v>14.634146341463413</v>
      </c>
      <c r="EF57" s="245">
        <v>0</v>
      </c>
      <c r="EG57" s="245">
        <v>17.073170731707318</v>
      </c>
      <c r="EH57" s="243">
        <v>21.951219512195124</v>
      </c>
      <c r="EI57" s="244">
        <v>40</v>
      </c>
      <c r="EJ57" s="245">
        <v>6.666666666666667</v>
      </c>
      <c r="EK57" s="245">
        <v>6.666666666666667</v>
      </c>
      <c r="EL57" s="245">
        <v>6.666666666666667</v>
      </c>
      <c r="EM57" s="245">
        <v>13.333333333333334</v>
      </c>
      <c r="EN57" s="246">
        <v>26.666666666666668</v>
      </c>
    </row>
    <row r="58" spans="1:144" ht="12" customHeight="1" x14ac:dyDescent="0.2">
      <c r="A58" s="236" t="s">
        <v>20</v>
      </c>
      <c r="B58" s="237">
        <v>1134</v>
      </c>
      <c r="C58" s="224">
        <v>77945.203031286321</v>
      </c>
      <c r="D58" s="224">
        <v>4126</v>
      </c>
      <c r="E58" s="226">
        <v>2757</v>
      </c>
      <c r="F58" s="226">
        <v>1876.5418525913801</v>
      </c>
      <c r="G58" s="238">
        <v>2360.8488853480962</v>
      </c>
      <c r="H58" s="228">
        <v>57.218829019585456</v>
      </c>
      <c r="I58" s="239">
        <v>40.652557319223988</v>
      </c>
      <c r="J58" s="239">
        <v>8.4656084656084651</v>
      </c>
      <c r="K58" s="239">
        <v>12.610229276895943</v>
      </c>
      <c r="L58" s="239">
        <v>11.022927689594356</v>
      </c>
      <c r="M58" s="239">
        <v>9.2592592592592595</v>
      </c>
      <c r="N58" s="239">
        <v>17.989417989417987</v>
      </c>
      <c r="O58" s="240">
        <v>4.3992135051365731</v>
      </c>
      <c r="P58" s="241">
        <v>1.6978722371137043</v>
      </c>
      <c r="Q58" s="242">
        <v>2.080745087105988</v>
      </c>
      <c r="R58" s="243">
        <v>47.298115553529854</v>
      </c>
      <c r="S58" s="240">
        <v>5.3473276003705212</v>
      </c>
      <c r="T58" s="241">
        <v>2.1964283655908852</v>
      </c>
      <c r="U58" s="242">
        <v>2.7149063905001434</v>
      </c>
      <c r="V58" s="243">
        <v>50.771274801117947</v>
      </c>
      <c r="W58" s="240">
        <v>5.6946684886142167</v>
      </c>
      <c r="X58" s="241">
        <v>2.6730441668311511</v>
      </c>
      <c r="Y58" s="242">
        <v>3.4049542434519831</v>
      </c>
      <c r="Z58" s="243">
        <v>59.791965946038253</v>
      </c>
      <c r="AA58" s="240">
        <v>5.8424223771130892</v>
      </c>
      <c r="AB58" s="241">
        <v>2.4887210309643923</v>
      </c>
      <c r="AC58" s="242">
        <v>3.2127662083819937</v>
      </c>
      <c r="AD58" s="243">
        <v>54.990310542551271</v>
      </c>
      <c r="AE58" s="240">
        <v>5.9382042716730492</v>
      </c>
      <c r="AF58" s="241">
        <v>3.5003778541167456</v>
      </c>
      <c r="AG58" s="242">
        <v>4.4402375131306115</v>
      </c>
      <c r="AH58" s="243">
        <v>74.774078323843256</v>
      </c>
      <c r="AI58" s="240">
        <v>5.0405264924683326</v>
      </c>
      <c r="AJ58" s="241">
        <v>2.6299510398979415</v>
      </c>
      <c r="AK58" s="242">
        <v>3.3763392917329562</v>
      </c>
      <c r="AL58" s="243">
        <v>66.983861641793936</v>
      </c>
      <c r="AM58" s="240">
        <v>5.1172294304579538</v>
      </c>
      <c r="AN58" s="241">
        <v>1.8543733440223111</v>
      </c>
      <c r="AO58" s="242">
        <v>2.4342651720540252</v>
      </c>
      <c r="AP58" s="243">
        <v>47.569983037406573</v>
      </c>
      <c r="AQ58" s="240">
        <v>5.2036677857920246</v>
      </c>
      <c r="AR58" s="241">
        <v>2.0991027925524803</v>
      </c>
      <c r="AS58" s="242">
        <v>2.5811199117714585</v>
      </c>
      <c r="AT58" s="243">
        <v>49.601934981685211</v>
      </c>
      <c r="AU58" s="240">
        <v>5.3931473825498832</v>
      </c>
      <c r="AV58" s="241">
        <v>2.4043053524158191</v>
      </c>
      <c r="AW58" s="242">
        <v>2.8407173652420035</v>
      </c>
      <c r="AX58" s="243">
        <v>52.672718984714841</v>
      </c>
      <c r="AY58" s="240">
        <v>5.5996399736715166</v>
      </c>
      <c r="AZ58" s="241">
        <v>3.4330028969071904</v>
      </c>
      <c r="BA58" s="242">
        <v>4.3817363311427746</v>
      </c>
      <c r="BB58" s="243">
        <v>78.250322373311462</v>
      </c>
      <c r="BC58" s="240">
        <v>5.1562012579092755</v>
      </c>
      <c r="BD58" s="241">
        <v>1.9474723958149722</v>
      </c>
      <c r="BE58" s="242">
        <v>2.3903426731421025</v>
      </c>
      <c r="BF58" s="243">
        <v>46.358599162037621</v>
      </c>
      <c r="BG58" s="240">
        <v>5.6594656527692413</v>
      </c>
      <c r="BH58" s="241">
        <v>3.0133884002246663</v>
      </c>
      <c r="BI58" s="242">
        <v>3.8480022459167746</v>
      </c>
      <c r="BJ58" s="243">
        <v>67.992324399634853</v>
      </c>
      <c r="BK58" s="240">
        <v>5.1512605257704225</v>
      </c>
      <c r="BL58" s="241">
        <v>2.4146854530123245</v>
      </c>
      <c r="BM58" s="242">
        <v>2.9857055278500844</v>
      </c>
      <c r="BN58" s="243">
        <v>57.960678030423296</v>
      </c>
      <c r="BO58" s="244">
        <v>52.713178294573652</v>
      </c>
      <c r="BP58" s="245">
        <v>5.684754521963824</v>
      </c>
      <c r="BQ58" s="245">
        <v>7.3643410852713185</v>
      </c>
      <c r="BR58" s="245">
        <v>7.3643410852713185</v>
      </c>
      <c r="BS58" s="245">
        <v>7.7519379844961236</v>
      </c>
      <c r="BT58" s="243">
        <v>19.12144702842377</v>
      </c>
      <c r="BU58" s="244">
        <v>21.465968586387437</v>
      </c>
      <c r="BV58" s="245">
        <v>15.183246073298429</v>
      </c>
      <c r="BW58" s="245">
        <v>24.083769633507853</v>
      </c>
      <c r="BX58" s="245">
        <v>12.56544502617801</v>
      </c>
      <c r="BY58" s="245">
        <v>12.56544502617801</v>
      </c>
      <c r="BZ58" s="243">
        <v>14.136125654450263</v>
      </c>
      <c r="CA58" s="244">
        <v>7.8740157480314963</v>
      </c>
      <c r="CB58" s="245">
        <v>14.960629921259844</v>
      </c>
      <c r="CC58" s="245">
        <v>22.834645669291341</v>
      </c>
      <c r="CD58" s="245">
        <v>25.984251968503933</v>
      </c>
      <c r="CE58" s="245">
        <v>10.236220472440944</v>
      </c>
      <c r="CF58" s="243">
        <v>18.110236220472441</v>
      </c>
      <c r="CG58" s="244">
        <v>7.4074074074074066</v>
      </c>
      <c r="CH58" s="245">
        <v>11.111111111111111</v>
      </c>
      <c r="CI58" s="245">
        <v>25.925925925925924</v>
      </c>
      <c r="CJ58" s="245">
        <v>29.629629629629626</v>
      </c>
      <c r="CK58" s="245">
        <v>18.518518518518519</v>
      </c>
      <c r="CL58" s="243">
        <v>7.4074074074074066</v>
      </c>
      <c r="CM58" s="244">
        <v>0</v>
      </c>
      <c r="CN58" s="245">
        <v>6.666666666666667</v>
      </c>
      <c r="CO58" s="245">
        <v>26.666666666666668</v>
      </c>
      <c r="CP58" s="245">
        <v>20</v>
      </c>
      <c r="CQ58" s="245">
        <v>20</v>
      </c>
      <c r="CR58" s="243">
        <v>26.666666666666668</v>
      </c>
      <c r="CS58" s="244">
        <v>39.548022598870055</v>
      </c>
      <c r="CT58" s="245">
        <v>7.9096045197740121</v>
      </c>
      <c r="CU58" s="245">
        <v>8.4745762711864394</v>
      </c>
      <c r="CV58" s="245">
        <v>12.429378531073446</v>
      </c>
      <c r="CW58" s="245">
        <v>9.6045197740112993</v>
      </c>
      <c r="CX58" s="243">
        <v>22.033898305084744</v>
      </c>
      <c r="CY58" s="244">
        <v>56.153846153846153</v>
      </c>
      <c r="CZ58" s="245">
        <v>5.384615384615385</v>
      </c>
      <c r="DA58" s="245">
        <v>9.2307692307692317</v>
      </c>
      <c r="DB58" s="245">
        <v>6.1538461538461542</v>
      </c>
      <c r="DC58" s="245">
        <v>7.6923076923076925</v>
      </c>
      <c r="DD58" s="243">
        <v>15.384615384615385</v>
      </c>
      <c r="DE58" s="244">
        <v>41.247002398081534</v>
      </c>
      <c r="DF58" s="245">
        <v>9.8321342925659465</v>
      </c>
      <c r="DG58" s="245">
        <v>13.669064748201439</v>
      </c>
      <c r="DH58" s="245">
        <v>10.551558752997602</v>
      </c>
      <c r="DI58" s="245">
        <v>8.8729016786570742</v>
      </c>
      <c r="DJ58" s="243">
        <v>15.827338129496402</v>
      </c>
      <c r="DK58" s="244">
        <v>34.782608695652172</v>
      </c>
      <c r="DL58" s="245">
        <v>13.043478260869565</v>
      </c>
      <c r="DM58" s="245">
        <v>8.695652173913043</v>
      </c>
      <c r="DN58" s="245">
        <v>17.391304347826086</v>
      </c>
      <c r="DO58" s="245">
        <v>13.043478260869565</v>
      </c>
      <c r="DP58" s="243">
        <v>13.043478260869565</v>
      </c>
      <c r="DQ58" s="244">
        <v>29.032258064516132</v>
      </c>
      <c r="DR58" s="245">
        <v>9.67741935483871</v>
      </c>
      <c r="DS58" s="245">
        <v>12.903225806451612</v>
      </c>
      <c r="DT58" s="245">
        <v>12.903225806451612</v>
      </c>
      <c r="DU58" s="245">
        <v>9.67741935483871</v>
      </c>
      <c r="DV58" s="243">
        <v>25.806451612903224</v>
      </c>
      <c r="DW58" s="244">
        <v>42.045454545454547</v>
      </c>
      <c r="DX58" s="245">
        <v>7.9545454545454541</v>
      </c>
      <c r="DY58" s="245">
        <v>14.204545454545455</v>
      </c>
      <c r="DZ58" s="245">
        <v>9.6590909090909083</v>
      </c>
      <c r="EA58" s="245">
        <v>9.6590909090909083</v>
      </c>
      <c r="EB58" s="243">
        <v>16.477272727272727</v>
      </c>
      <c r="EC58" s="244">
        <v>30.081300813008134</v>
      </c>
      <c r="ED58" s="245">
        <v>8.1300813008130071</v>
      </c>
      <c r="EE58" s="245">
        <v>14.634146341463413</v>
      </c>
      <c r="EF58" s="245">
        <v>17.073170731707318</v>
      </c>
      <c r="EG58" s="245">
        <v>11.38211382113821</v>
      </c>
      <c r="EH58" s="243">
        <v>18.699186991869919</v>
      </c>
      <c r="EI58" s="244">
        <v>31.481481481481481</v>
      </c>
      <c r="EJ58" s="245">
        <v>7.4074074074074066</v>
      </c>
      <c r="EK58" s="245">
        <v>16.666666666666664</v>
      </c>
      <c r="EL58" s="245">
        <v>7.4074074074074066</v>
      </c>
      <c r="EM58" s="245">
        <v>7.4074074074074066</v>
      </c>
      <c r="EN58" s="246">
        <v>29.629629629629626</v>
      </c>
    </row>
    <row r="59" spans="1:144" ht="12" customHeight="1" x14ac:dyDescent="0.2">
      <c r="A59" s="236" t="s">
        <v>21</v>
      </c>
      <c r="B59" s="237">
        <v>27844</v>
      </c>
      <c r="C59" s="224">
        <v>4614694.8984778114</v>
      </c>
      <c r="D59" s="224">
        <v>263146</v>
      </c>
      <c r="E59" s="226">
        <v>202377</v>
      </c>
      <c r="F59" s="226">
        <v>140328.2915019044</v>
      </c>
      <c r="G59" s="238">
        <v>181020.24430287851</v>
      </c>
      <c r="H59" s="228">
        <v>68.79080217935234</v>
      </c>
      <c r="I59" s="239">
        <v>43.851458123832785</v>
      </c>
      <c r="J59" s="239">
        <v>11.704496480390748</v>
      </c>
      <c r="K59" s="239">
        <v>11.18373796868266</v>
      </c>
      <c r="L59" s="239">
        <v>10.113489441172245</v>
      </c>
      <c r="M59" s="239">
        <v>7.4701910645022265</v>
      </c>
      <c r="N59" s="239">
        <v>15.676626921419338</v>
      </c>
      <c r="O59" s="240">
        <v>4.3810734573491024</v>
      </c>
      <c r="P59" s="241">
        <v>1.5049696179124616</v>
      </c>
      <c r="Q59" s="242">
        <v>1.8907895162577886</v>
      </c>
      <c r="R59" s="243">
        <v>43.15813315309866</v>
      </c>
      <c r="S59" s="240">
        <v>5.3366554310159486</v>
      </c>
      <c r="T59" s="241">
        <v>1.9738977438933676</v>
      </c>
      <c r="U59" s="242">
        <v>2.4954345828498488</v>
      </c>
      <c r="V59" s="243">
        <v>46.760271767720042</v>
      </c>
      <c r="W59" s="240">
        <v>5.685442752607881</v>
      </c>
      <c r="X59" s="241">
        <v>2.0676272533350732</v>
      </c>
      <c r="Y59" s="242">
        <v>2.6457102285988361</v>
      </c>
      <c r="Z59" s="243">
        <v>46.53481432708584</v>
      </c>
      <c r="AA59" s="240">
        <v>5.8577466563228162</v>
      </c>
      <c r="AB59" s="241">
        <v>2.5779872925954175</v>
      </c>
      <c r="AC59" s="242">
        <v>3.3183075591811551</v>
      </c>
      <c r="AD59" s="243">
        <v>56.648191768406264</v>
      </c>
      <c r="AE59" s="240">
        <v>5.9745632962921338</v>
      </c>
      <c r="AF59" s="241">
        <v>3.7253203067605116</v>
      </c>
      <c r="AG59" s="242">
        <v>4.8267248877016558</v>
      </c>
      <c r="AH59" s="243">
        <v>80.787911154898339</v>
      </c>
      <c r="AI59" s="240">
        <v>5.8271533758033645</v>
      </c>
      <c r="AJ59" s="241">
        <v>3.9575453878149487</v>
      </c>
      <c r="AK59" s="242">
        <v>5.2001265546600361</v>
      </c>
      <c r="AL59" s="243">
        <v>89.239568950647651</v>
      </c>
      <c r="AM59" s="240">
        <v>5.5307922106160605</v>
      </c>
      <c r="AN59" s="241">
        <v>2.3082122890914243</v>
      </c>
      <c r="AO59" s="242">
        <v>3.0126996294980173</v>
      </c>
      <c r="AP59" s="243">
        <v>54.471394237434936</v>
      </c>
      <c r="AQ59" s="240">
        <v>5.7223491026035349</v>
      </c>
      <c r="AR59" s="241">
        <v>3.5342156154937028</v>
      </c>
      <c r="AS59" s="242">
        <v>4.5742300519338821</v>
      </c>
      <c r="AT59" s="243">
        <v>79.936228459964369</v>
      </c>
      <c r="AU59" s="240">
        <v>5.6747896527155337</v>
      </c>
      <c r="AV59" s="241">
        <v>1.8501554693390054</v>
      </c>
      <c r="AW59" s="242">
        <v>2.2766890906862209</v>
      </c>
      <c r="AX59" s="243">
        <v>40.119356487456173</v>
      </c>
      <c r="AY59" s="240">
        <v>5.7678633782331392</v>
      </c>
      <c r="AZ59" s="241">
        <v>3.1979325987243614</v>
      </c>
      <c r="BA59" s="242">
        <v>4.1046825483588796</v>
      </c>
      <c r="BB59" s="243">
        <v>71.164697899211703</v>
      </c>
      <c r="BC59" s="240">
        <v>5.6350178885743087</v>
      </c>
      <c r="BD59" s="241">
        <v>2.2436670640216136</v>
      </c>
      <c r="BE59" s="242">
        <v>2.8585723509564351</v>
      </c>
      <c r="BF59" s="243">
        <v>50.728718301898247</v>
      </c>
      <c r="BG59" s="240">
        <v>5.6963566071192524</v>
      </c>
      <c r="BH59" s="241">
        <v>3.2293178610580506</v>
      </c>
      <c r="BI59" s="242">
        <v>4.1611788526350866</v>
      </c>
      <c r="BJ59" s="243">
        <v>73.049830613386874</v>
      </c>
      <c r="BK59" s="240">
        <v>5.50077698611216</v>
      </c>
      <c r="BL59" s="241">
        <v>2.6235160348043634</v>
      </c>
      <c r="BM59" s="242">
        <v>3.3346530365883171</v>
      </c>
      <c r="BN59" s="243">
        <v>60.621491200376468</v>
      </c>
      <c r="BO59" s="244">
        <v>59.665871121718375</v>
      </c>
      <c r="BP59" s="245">
        <v>5.8890214797136045</v>
      </c>
      <c r="BQ59" s="245">
        <v>5.0298329355608598</v>
      </c>
      <c r="BR59" s="245">
        <v>6.342482100238664</v>
      </c>
      <c r="BS59" s="245">
        <v>5.8114558472553703</v>
      </c>
      <c r="BT59" s="243">
        <v>17.261336515513126</v>
      </c>
      <c r="BU59" s="244">
        <v>33.784329563812598</v>
      </c>
      <c r="BV59" s="245">
        <v>15.347334410339256</v>
      </c>
      <c r="BW59" s="245">
        <v>16.781098546042003</v>
      </c>
      <c r="BX59" s="245">
        <v>12.782714054927302</v>
      </c>
      <c r="BY59" s="245">
        <v>7.915993537964459</v>
      </c>
      <c r="BZ59" s="243">
        <v>13.388529886914377</v>
      </c>
      <c r="CA59" s="244">
        <v>13.717461245978358</v>
      </c>
      <c r="CB59" s="245">
        <v>27.230184264404794</v>
      </c>
      <c r="CC59" s="245">
        <v>23.106171395144777</v>
      </c>
      <c r="CD59" s="245">
        <v>15.296870429950276</v>
      </c>
      <c r="CE59" s="245">
        <v>9.3009651945013161</v>
      </c>
      <c r="CF59" s="243">
        <v>11.348347470020475</v>
      </c>
      <c r="CG59" s="244">
        <v>3.4954407294832825</v>
      </c>
      <c r="CH59" s="245">
        <v>26.29179331306991</v>
      </c>
      <c r="CI59" s="245">
        <v>26.747720364741639</v>
      </c>
      <c r="CJ59" s="245">
        <v>20.74468085106383</v>
      </c>
      <c r="CK59" s="245">
        <v>11.322188449848024</v>
      </c>
      <c r="CL59" s="243">
        <v>11.398176291793312</v>
      </c>
      <c r="CM59" s="244">
        <v>1.5748031496062991</v>
      </c>
      <c r="CN59" s="245">
        <v>16.821760916249104</v>
      </c>
      <c r="CO59" s="245">
        <v>21.33142448103078</v>
      </c>
      <c r="CP59" s="245">
        <v>23.192555476020043</v>
      </c>
      <c r="CQ59" s="245">
        <v>17.680744452397995</v>
      </c>
      <c r="CR59" s="243">
        <v>19.398711524695777</v>
      </c>
      <c r="CS59" s="244">
        <v>25.549780087964812</v>
      </c>
      <c r="CT59" s="245">
        <v>8.7964814074370246</v>
      </c>
      <c r="CU59" s="245">
        <v>11.435425829668134</v>
      </c>
      <c r="CV59" s="245">
        <v>12.874850059976009</v>
      </c>
      <c r="CW59" s="245">
        <v>12.355057976809276</v>
      </c>
      <c r="CX59" s="243">
        <v>28.988404638144743</v>
      </c>
      <c r="CY59" s="244">
        <v>51.324200913242009</v>
      </c>
      <c r="CZ59" s="245">
        <v>7.3059360730593603</v>
      </c>
      <c r="DA59" s="245">
        <v>8.493150684931507</v>
      </c>
      <c r="DB59" s="245">
        <v>10.41095890410959</v>
      </c>
      <c r="DC59" s="245">
        <v>6.8493150684931505</v>
      </c>
      <c r="DD59" s="243">
        <v>15.616438356164384</v>
      </c>
      <c r="DE59" s="244">
        <v>45.705874824011261</v>
      </c>
      <c r="DF59" s="245">
        <v>10.981697171381031</v>
      </c>
      <c r="DG59" s="245">
        <v>10.303340586202484</v>
      </c>
      <c r="DH59" s="245">
        <v>9.6761807244336353</v>
      </c>
      <c r="DI59" s="245">
        <v>7.7435044157173936</v>
      </c>
      <c r="DJ59" s="243">
        <v>15.589402278254191</v>
      </c>
      <c r="DK59" s="244">
        <v>53.747954173486093</v>
      </c>
      <c r="DL59" s="245">
        <v>16.366612111292962</v>
      </c>
      <c r="DM59" s="245">
        <v>10.867430441898527</v>
      </c>
      <c r="DN59" s="245">
        <v>7.9541734860883802</v>
      </c>
      <c r="DO59" s="245">
        <v>3.927986906710311</v>
      </c>
      <c r="DP59" s="243">
        <v>7.1358428805237324</v>
      </c>
      <c r="DQ59" s="244">
        <v>39.639079029247043</v>
      </c>
      <c r="DR59" s="245">
        <v>11.263223397635345</v>
      </c>
      <c r="DS59" s="245">
        <v>13.87678904791537</v>
      </c>
      <c r="DT59" s="245">
        <v>11.947728686994399</v>
      </c>
      <c r="DU59" s="245">
        <v>8.8363410080896081</v>
      </c>
      <c r="DV59" s="243">
        <v>14.436838830118232</v>
      </c>
      <c r="DW59" s="244">
        <v>47.266099635479954</v>
      </c>
      <c r="DX59" s="245">
        <v>13.715066828675576</v>
      </c>
      <c r="DY59" s="245">
        <v>12.560753341433777</v>
      </c>
      <c r="DZ59" s="245">
        <v>9.3104495747266114</v>
      </c>
      <c r="EA59" s="245">
        <v>5.7411907654921022</v>
      </c>
      <c r="EB59" s="243">
        <v>11.406439854191982</v>
      </c>
      <c r="EC59" s="244">
        <v>29.928382962683752</v>
      </c>
      <c r="ED59" s="245">
        <v>10.893328307576329</v>
      </c>
      <c r="EE59" s="245">
        <v>12.137203166226913</v>
      </c>
      <c r="EF59" s="245">
        <v>13.004146249528837</v>
      </c>
      <c r="EG59" s="245">
        <v>10.516396532227667</v>
      </c>
      <c r="EH59" s="243">
        <v>23.5205427817565</v>
      </c>
      <c r="EI59" s="244">
        <v>48.216939078751857</v>
      </c>
      <c r="EJ59" s="245">
        <v>10.401188707280832</v>
      </c>
      <c r="EK59" s="245">
        <v>9.2867756315007437</v>
      </c>
      <c r="EL59" s="245">
        <v>8.3952451708766702</v>
      </c>
      <c r="EM59" s="245">
        <v>6.4635958395245181</v>
      </c>
      <c r="EN59" s="246">
        <v>17.236255572065378</v>
      </c>
    </row>
    <row r="60" spans="1:144" ht="12" customHeight="1" x14ac:dyDescent="0.2">
      <c r="A60" s="236" t="s">
        <v>22</v>
      </c>
      <c r="B60" s="237">
        <v>3501</v>
      </c>
      <c r="C60" s="224">
        <v>314203.25452070899</v>
      </c>
      <c r="D60" s="224">
        <v>17118</v>
      </c>
      <c r="E60" s="226">
        <v>19422</v>
      </c>
      <c r="F60" s="226">
        <v>13264.697144892476</v>
      </c>
      <c r="G60" s="238">
        <v>16913.713001186803</v>
      </c>
      <c r="H60" s="228">
        <v>98.806595403591558</v>
      </c>
      <c r="I60" s="239">
        <v>23.393316195372751</v>
      </c>
      <c r="J60" s="239">
        <v>7.4264495858326187</v>
      </c>
      <c r="K60" s="239">
        <v>9.9114538703227648</v>
      </c>
      <c r="L60" s="239">
        <v>11.568123393316196</v>
      </c>
      <c r="M60" s="239">
        <v>10.36846615252785</v>
      </c>
      <c r="N60" s="239">
        <v>37.332190802627821</v>
      </c>
      <c r="O60" s="240">
        <v>4.376673243685568</v>
      </c>
      <c r="P60" s="241">
        <v>3.0245802670688797</v>
      </c>
      <c r="Q60" s="242">
        <v>3.824559215173696</v>
      </c>
      <c r="R60" s="243">
        <v>87.385075426674049</v>
      </c>
      <c r="S60" s="240">
        <v>5.3409565137833654</v>
      </c>
      <c r="T60" s="241">
        <v>4.0947427025796923</v>
      </c>
      <c r="U60" s="242">
        <v>5.217204728802205</v>
      </c>
      <c r="V60" s="243">
        <v>97.682965875835265</v>
      </c>
      <c r="W60" s="240">
        <v>5.6886946798131985</v>
      </c>
      <c r="X60" s="241">
        <v>4.5346248429606337</v>
      </c>
      <c r="Y60" s="242">
        <v>5.8379567570422726</v>
      </c>
      <c r="Z60" s="243">
        <v>102.62383702466479</v>
      </c>
      <c r="AA60" s="240">
        <v>5.8338440355127377</v>
      </c>
      <c r="AB60" s="241">
        <v>4.3805283064485305</v>
      </c>
      <c r="AC60" s="242">
        <v>5.6270811018868567</v>
      </c>
      <c r="AD60" s="243">
        <v>96.455802857134344</v>
      </c>
      <c r="AE60" s="240">
        <v>5.9682312515941236</v>
      </c>
      <c r="AF60" s="241">
        <v>4.8897778790269619</v>
      </c>
      <c r="AG60" s="242">
        <v>6.2082468829049535</v>
      </c>
      <c r="AH60" s="243">
        <v>104.02155381038094</v>
      </c>
      <c r="AI60" s="240">
        <v>5.4951599160716871</v>
      </c>
      <c r="AJ60" s="241">
        <v>4.2104239248211073</v>
      </c>
      <c r="AK60" s="242">
        <v>5.5095000613360732</v>
      </c>
      <c r="AL60" s="243">
        <v>100.26095956229493</v>
      </c>
      <c r="AM60" s="240">
        <v>5.1083575318156171</v>
      </c>
      <c r="AN60" s="241">
        <v>2.7414872619168253</v>
      </c>
      <c r="AO60" s="242">
        <v>3.5047847812543123</v>
      </c>
      <c r="AP60" s="243">
        <v>68.608838739770789</v>
      </c>
      <c r="AQ60" s="240">
        <v>5.3599177578243893</v>
      </c>
      <c r="AR60" s="241">
        <v>3.7886531488057278</v>
      </c>
      <c r="AS60" s="242">
        <v>4.7678670008176658</v>
      </c>
      <c r="AT60" s="243">
        <v>88.95410743677084</v>
      </c>
      <c r="AU60" s="240">
        <v>5.5548972502775493</v>
      </c>
      <c r="AV60" s="241">
        <v>2.7207559831881074</v>
      </c>
      <c r="AW60" s="242">
        <v>3.2885249487445583</v>
      </c>
      <c r="AX60" s="243">
        <v>59.200464033430102</v>
      </c>
      <c r="AY60" s="240">
        <v>5.8374204342064662</v>
      </c>
      <c r="AZ60" s="241">
        <v>5.0884056026876534</v>
      </c>
      <c r="BA60" s="242">
        <v>6.5487519670607455</v>
      </c>
      <c r="BB60" s="243">
        <v>112.18571697673127</v>
      </c>
      <c r="BC60" s="240">
        <v>5.4783994523098043</v>
      </c>
      <c r="BD60" s="241">
        <v>5.1169027898150681</v>
      </c>
      <c r="BE60" s="242">
        <v>6.3149364429014447</v>
      </c>
      <c r="BF60" s="243">
        <v>115.26973339337165</v>
      </c>
      <c r="BG60" s="240">
        <v>5.4209744760900724</v>
      </c>
      <c r="BH60" s="241">
        <v>5.0090109702395997</v>
      </c>
      <c r="BI60" s="242">
        <v>6.4193126972594481</v>
      </c>
      <c r="BJ60" s="243">
        <v>118.4162132762786</v>
      </c>
      <c r="BK60" s="240">
        <v>5.2350283164687221</v>
      </c>
      <c r="BL60" s="241">
        <v>2.7148582079320955</v>
      </c>
      <c r="BM60" s="242">
        <v>3.4298717400158942</v>
      </c>
      <c r="BN60" s="243">
        <v>65.517730424226372</v>
      </c>
      <c r="BO60" s="244">
        <v>33.013937282229968</v>
      </c>
      <c r="BP60" s="245">
        <v>7.4041811846689898</v>
      </c>
      <c r="BQ60" s="245">
        <v>6.4024390243902438</v>
      </c>
      <c r="BR60" s="245">
        <v>7.8832752613240427</v>
      </c>
      <c r="BS60" s="245">
        <v>7.534843205574913</v>
      </c>
      <c r="BT60" s="243">
        <v>37.761324041811847</v>
      </c>
      <c r="BU60" s="244">
        <v>7.7046548956661312</v>
      </c>
      <c r="BV60" s="245">
        <v>8.8282504012841088</v>
      </c>
      <c r="BW60" s="245">
        <v>16.853932584269664</v>
      </c>
      <c r="BX60" s="245">
        <v>15.730337078651685</v>
      </c>
      <c r="BY60" s="245">
        <v>13.001605136436597</v>
      </c>
      <c r="BZ60" s="243">
        <v>37.881219903691814</v>
      </c>
      <c r="CA60" s="244">
        <v>3.0534351145038165</v>
      </c>
      <c r="CB60" s="245">
        <v>6.6157760814249356</v>
      </c>
      <c r="CC60" s="245">
        <v>16.030534351145036</v>
      </c>
      <c r="CD60" s="245">
        <v>21.374045801526716</v>
      </c>
      <c r="CE60" s="245">
        <v>19.083969465648856</v>
      </c>
      <c r="CF60" s="243">
        <v>33.842239185750635</v>
      </c>
      <c r="CG60" s="244">
        <v>0</v>
      </c>
      <c r="CH60" s="245">
        <v>5.982905982905983</v>
      </c>
      <c r="CI60" s="245">
        <v>17.948717948717949</v>
      </c>
      <c r="CJ60" s="245">
        <v>15.384615384615385</v>
      </c>
      <c r="CK60" s="245">
        <v>17.094017094017094</v>
      </c>
      <c r="CL60" s="243">
        <v>43.589743589743591</v>
      </c>
      <c r="CM60" s="244">
        <v>1.3888888888888888</v>
      </c>
      <c r="CN60" s="245">
        <v>2.7777777777777777</v>
      </c>
      <c r="CO60" s="245">
        <v>15.277777777777779</v>
      </c>
      <c r="CP60" s="245">
        <v>33.333333333333329</v>
      </c>
      <c r="CQ60" s="245">
        <v>19.444444444444446</v>
      </c>
      <c r="CR60" s="243">
        <v>27.777777777777779</v>
      </c>
      <c r="CS60" s="244">
        <v>15.113350125944585</v>
      </c>
      <c r="CT60" s="245">
        <v>7.0528967254408066</v>
      </c>
      <c r="CU60" s="245">
        <v>7.934508816120907</v>
      </c>
      <c r="CV60" s="245">
        <v>11.209068010075567</v>
      </c>
      <c r="CW60" s="245">
        <v>12.720403022670027</v>
      </c>
      <c r="CX60" s="243">
        <v>45.969773299748113</v>
      </c>
      <c r="CY60" s="244">
        <v>30.76923076923077</v>
      </c>
      <c r="CZ60" s="245">
        <v>9.6153846153846168</v>
      </c>
      <c r="DA60" s="245">
        <v>7.4175824175824179</v>
      </c>
      <c r="DB60" s="245">
        <v>11.813186813186812</v>
      </c>
      <c r="DC60" s="245">
        <v>9.3406593406593412</v>
      </c>
      <c r="DD60" s="243">
        <v>31.043956043956044</v>
      </c>
      <c r="DE60" s="244">
        <v>25.742574257425744</v>
      </c>
      <c r="DF60" s="245">
        <v>6.1206120612061206</v>
      </c>
      <c r="DG60" s="245">
        <v>11.341134113411341</v>
      </c>
      <c r="DH60" s="245">
        <v>12.241224122412241</v>
      </c>
      <c r="DI60" s="245">
        <v>10.531053105310532</v>
      </c>
      <c r="DJ60" s="243">
        <v>34.023402340234021</v>
      </c>
      <c r="DK60" s="244">
        <v>37.931034482758619</v>
      </c>
      <c r="DL60" s="245">
        <v>3.4482758620689653</v>
      </c>
      <c r="DM60" s="245">
        <v>8.6206896551724146</v>
      </c>
      <c r="DN60" s="245">
        <v>5.1724137931034484</v>
      </c>
      <c r="DO60" s="245">
        <v>10.344827586206897</v>
      </c>
      <c r="DP60" s="243">
        <v>34.482758620689658</v>
      </c>
      <c r="DQ60" s="244">
        <v>19.387755102040817</v>
      </c>
      <c r="DR60" s="245">
        <v>10.204081632653061</v>
      </c>
      <c r="DS60" s="245">
        <v>12.244897959183673</v>
      </c>
      <c r="DT60" s="245">
        <v>12.244897959183673</v>
      </c>
      <c r="DU60" s="245">
        <v>10.204081632653061</v>
      </c>
      <c r="DV60" s="243">
        <v>35.714285714285715</v>
      </c>
      <c r="DW60" s="244">
        <v>29.219143576826195</v>
      </c>
      <c r="DX60" s="245">
        <v>9.8236775818639792</v>
      </c>
      <c r="DY60" s="245">
        <v>12.090680100755668</v>
      </c>
      <c r="DZ60" s="245">
        <v>11.838790931989925</v>
      </c>
      <c r="EA60" s="245">
        <v>6.5491183879093198</v>
      </c>
      <c r="EB60" s="243">
        <v>30.478589420654913</v>
      </c>
      <c r="EC60" s="244">
        <v>17.647058823529413</v>
      </c>
      <c r="ED60" s="245">
        <v>7.3529411764705888</v>
      </c>
      <c r="EE60" s="245">
        <v>8.4033613445378155</v>
      </c>
      <c r="EF60" s="245">
        <v>10.504201680672269</v>
      </c>
      <c r="EG60" s="245">
        <v>10.92436974789916</v>
      </c>
      <c r="EH60" s="243">
        <v>45.168067226890756</v>
      </c>
      <c r="EI60" s="244">
        <v>30.939226519337016</v>
      </c>
      <c r="EJ60" s="245">
        <v>8.2872928176795568</v>
      </c>
      <c r="EK60" s="245">
        <v>12.707182320441991</v>
      </c>
      <c r="EL60" s="245">
        <v>12.154696132596685</v>
      </c>
      <c r="EM60" s="245">
        <v>7.7348066298342539</v>
      </c>
      <c r="EN60" s="246">
        <v>28.176795580110497</v>
      </c>
    </row>
    <row r="61" spans="1:144" ht="12" customHeight="1" x14ac:dyDescent="0.2">
      <c r="A61" s="236" t="s">
        <v>23</v>
      </c>
      <c r="B61" s="237">
        <v>3911</v>
      </c>
      <c r="C61" s="224">
        <v>324606.45132601861</v>
      </c>
      <c r="D61" s="224">
        <v>17587</v>
      </c>
      <c r="E61" s="226">
        <v>20061</v>
      </c>
      <c r="F61" s="226">
        <v>12681.915202526108</v>
      </c>
      <c r="G61" s="238">
        <v>16330.78092856587</v>
      </c>
      <c r="H61" s="228">
        <v>92.857115645453291</v>
      </c>
      <c r="I61" s="239">
        <v>22.705190488366149</v>
      </c>
      <c r="J61" s="239">
        <v>6.7246228586039374</v>
      </c>
      <c r="K61" s="239">
        <v>9.3326514957811302</v>
      </c>
      <c r="L61" s="239">
        <v>12.758885195602149</v>
      </c>
      <c r="M61" s="239">
        <v>11.736128867297367</v>
      </c>
      <c r="N61" s="239">
        <v>36.742521094349271</v>
      </c>
      <c r="O61" s="240">
        <v>4.3996602792669686</v>
      </c>
      <c r="P61" s="241">
        <v>3.0844003585786099</v>
      </c>
      <c r="Q61" s="242">
        <v>3.9117398326644541</v>
      </c>
      <c r="R61" s="243">
        <v>88.910042693482509</v>
      </c>
      <c r="S61" s="240">
        <v>5.3470152652577143</v>
      </c>
      <c r="T61" s="241">
        <v>3.6306885558110431</v>
      </c>
      <c r="U61" s="242">
        <v>4.7092182125947106</v>
      </c>
      <c r="V61" s="243">
        <v>88.071905146650735</v>
      </c>
      <c r="W61" s="240">
        <v>5.6861512750865995</v>
      </c>
      <c r="X61" s="241">
        <v>3.8509671573676916</v>
      </c>
      <c r="Y61" s="242">
        <v>4.9929868273658471</v>
      </c>
      <c r="Z61" s="243">
        <v>87.809602414944635</v>
      </c>
      <c r="AA61" s="240">
        <v>5.8619935716045815</v>
      </c>
      <c r="AB61" s="241">
        <v>4.6767120483017788</v>
      </c>
      <c r="AC61" s="242">
        <v>6.0342473015693994</v>
      </c>
      <c r="AD61" s="243">
        <v>102.9384837745168</v>
      </c>
      <c r="AE61" s="240">
        <v>5.959922009409512</v>
      </c>
      <c r="AF61" s="241">
        <v>4.4993323053757175</v>
      </c>
      <c r="AG61" s="242">
        <v>5.7946849253103236</v>
      </c>
      <c r="AH61" s="243">
        <v>97.227529423399943</v>
      </c>
      <c r="AI61" s="240">
        <v>5.4476172593222181</v>
      </c>
      <c r="AJ61" s="241">
        <v>4.1326225356262656</v>
      </c>
      <c r="AK61" s="242">
        <v>5.4014006432689019</v>
      </c>
      <c r="AL61" s="243">
        <v>99.151617783458846</v>
      </c>
      <c r="AM61" s="240">
        <v>5.1187164300749668</v>
      </c>
      <c r="AN61" s="241">
        <v>3.0615100941926938</v>
      </c>
      <c r="AO61" s="242">
        <v>3.9207563273124331</v>
      </c>
      <c r="AP61" s="243">
        <v>76.59647454342398</v>
      </c>
      <c r="AQ61" s="240">
        <v>5.3956057860533999</v>
      </c>
      <c r="AR61" s="241">
        <v>3.2409866194370549</v>
      </c>
      <c r="AS61" s="242">
        <v>4.2068160912287347</v>
      </c>
      <c r="AT61" s="243">
        <v>77.967447179008957</v>
      </c>
      <c r="AU61" s="240">
        <v>5.142234102566178</v>
      </c>
      <c r="AV61" s="241">
        <v>1.3293624629436058</v>
      </c>
      <c r="AW61" s="242">
        <v>1.6153435626177066</v>
      </c>
      <c r="AX61" s="243">
        <v>31.413263775983797</v>
      </c>
      <c r="AY61" s="240">
        <v>5.7373005106571178</v>
      </c>
      <c r="AZ61" s="241">
        <v>5.2621396040158404</v>
      </c>
      <c r="BA61" s="242">
        <v>6.6929301895517614</v>
      </c>
      <c r="BB61" s="243">
        <v>116.65643410380105</v>
      </c>
      <c r="BC61" s="240">
        <v>5.3352375327890336</v>
      </c>
      <c r="BD61" s="241">
        <v>3.8466081660810829</v>
      </c>
      <c r="BE61" s="242">
        <v>4.7397860069024658</v>
      </c>
      <c r="BF61" s="243">
        <v>88.839268688093625</v>
      </c>
      <c r="BG61" s="240">
        <v>5.5098996467717312</v>
      </c>
      <c r="BH61" s="241">
        <v>4.7866958128439006</v>
      </c>
      <c r="BI61" s="242">
        <v>6.1326731203916749</v>
      </c>
      <c r="BJ61" s="243">
        <v>111.30280973419957</v>
      </c>
      <c r="BK61" s="240">
        <v>5.1334005387688082</v>
      </c>
      <c r="BL61" s="241">
        <v>3.0279676572074288</v>
      </c>
      <c r="BM61" s="242">
        <v>3.8616687150873417</v>
      </c>
      <c r="BN61" s="243">
        <v>75.226327770899445</v>
      </c>
      <c r="BO61" s="244">
        <v>31.984126984126981</v>
      </c>
      <c r="BP61" s="245">
        <v>6.1904761904761907</v>
      </c>
      <c r="BQ61" s="245">
        <v>6.4285714285714279</v>
      </c>
      <c r="BR61" s="245">
        <v>9.2063492063492074</v>
      </c>
      <c r="BS61" s="245">
        <v>8.4523809523809526</v>
      </c>
      <c r="BT61" s="243">
        <v>37.738095238095241</v>
      </c>
      <c r="BU61" s="244">
        <v>9.0909090909090917</v>
      </c>
      <c r="BV61" s="245">
        <v>9.3622795115332433</v>
      </c>
      <c r="BW61" s="245">
        <v>15.061058344640434</v>
      </c>
      <c r="BX61" s="245">
        <v>17.639077340569877</v>
      </c>
      <c r="BY61" s="245">
        <v>15.061058344640434</v>
      </c>
      <c r="BZ61" s="243">
        <v>33.785617367706919</v>
      </c>
      <c r="CA61" s="244">
        <v>2.6030368763557483</v>
      </c>
      <c r="CB61" s="245">
        <v>6.9414316702819958</v>
      </c>
      <c r="CC61" s="245">
        <v>15.184381778741866</v>
      </c>
      <c r="CD61" s="245">
        <v>20.607375271149674</v>
      </c>
      <c r="CE61" s="245">
        <v>20.390455531453362</v>
      </c>
      <c r="CF61" s="243">
        <v>34.273318872017356</v>
      </c>
      <c r="CG61" s="244">
        <v>1.6260162601626018</v>
      </c>
      <c r="CH61" s="245">
        <v>3.2520325203252036</v>
      </c>
      <c r="CI61" s="245">
        <v>10.569105691056912</v>
      </c>
      <c r="CJ61" s="245">
        <v>21.951219512195124</v>
      </c>
      <c r="CK61" s="245">
        <v>21.951219512195124</v>
      </c>
      <c r="CL61" s="243">
        <v>40.650406504065039</v>
      </c>
      <c r="CM61" s="244">
        <v>1.4285714285714286</v>
      </c>
      <c r="CN61" s="245">
        <v>2.8571428571428572</v>
      </c>
      <c r="CO61" s="245">
        <v>12.857142857142856</v>
      </c>
      <c r="CP61" s="245">
        <v>21.428571428571427</v>
      </c>
      <c r="CQ61" s="245">
        <v>20</v>
      </c>
      <c r="CR61" s="243">
        <v>41.428571428571431</v>
      </c>
      <c r="CS61" s="244">
        <v>15.553435114503817</v>
      </c>
      <c r="CT61" s="245">
        <v>5.0572519083969469</v>
      </c>
      <c r="CU61" s="245">
        <v>8.3015267175572518</v>
      </c>
      <c r="CV61" s="245">
        <v>13.835877862595419</v>
      </c>
      <c r="CW61" s="245">
        <v>12.786259541984732</v>
      </c>
      <c r="CX61" s="243">
        <v>44.465648854961835</v>
      </c>
      <c r="CY61" s="244">
        <v>31.378299120234605</v>
      </c>
      <c r="CZ61" s="245">
        <v>5.2785923753665687</v>
      </c>
      <c r="DA61" s="245">
        <v>7.9178885630498534</v>
      </c>
      <c r="DB61" s="245">
        <v>11.143695014662756</v>
      </c>
      <c r="DC61" s="245">
        <v>11.436950146627565</v>
      </c>
      <c r="DD61" s="243">
        <v>32.84457478005865</v>
      </c>
      <c r="DE61" s="244">
        <v>25.190839694656486</v>
      </c>
      <c r="DF61" s="245">
        <v>6.9550466497031378</v>
      </c>
      <c r="DG61" s="245">
        <v>10.093299406276506</v>
      </c>
      <c r="DH61" s="245">
        <v>12.892281594571669</v>
      </c>
      <c r="DI61" s="245">
        <v>12.044105173876165</v>
      </c>
      <c r="DJ61" s="243">
        <v>32.824427480916029</v>
      </c>
      <c r="DK61" s="244">
        <v>55.813953488372093</v>
      </c>
      <c r="DL61" s="245">
        <v>11.627906976744185</v>
      </c>
      <c r="DM61" s="245">
        <v>6.9767441860465116</v>
      </c>
      <c r="DN61" s="245">
        <v>9.3023255813953494</v>
      </c>
      <c r="DO61" s="245">
        <v>4.6511627906976747</v>
      </c>
      <c r="DP61" s="243">
        <v>11.627906976744185</v>
      </c>
      <c r="DQ61" s="244">
        <v>33.333333333333329</v>
      </c>
      <c r="DR61" s="245">
        <v>2.083333333333333</v>
      </c>
      <c r="DS61" s="245">
        <v>10.416666666666668</v>
      </c>
      <c r="DT61" s="245">
        <v>12.5</v>
      </c>
      <c r="DU61" s="245">
        <v>10.416666666666668</v>
      </c>
      <c r="DV61" s="243">
        <v>31.25</v>
      </c>
      <c r="DW61" s="244">
        <v>27.27272727272727</v>
      </c>
      <c r="DX61" s="245">
        <v>10.565110565110565</v>
      </c>
      <c r="DY61" s="245">
        <v>11.302211302211303</v>
      </c>
      <c r="DZ61" s="245">
        <v>10.810810810810811</v>
      </c>
      <c r="EA61" s="245">
        <v>10.319410319410318</v>
      </c>
      <c r="EB61" s="243">
        <v>29.72972972972973</v>
      </c>
      <c r="EC61" s="244">
        <v>12.542955326460481</v>
      </c>
      <c r="ED61" s="245">
        <v>7.731958762886598</v>
      </c>
      <c r="EE61" s="245">
        <v>9.7938144329896915</v>
      </c>
      <c r="EF61" s="245">
        <v>13.745704467353953</v>
      </c>
      <c r="EG61" s="245">
        <v>12.714776632302405</v>
      </c>
      <c r="EH61" s="243">
        <v>43.470790378006875</v>
      </c>
      <c r="EI61" s="244">
        <v>37.745098039215684</v>
      </c>
      <c r="EJ61" s="245">
        <v>6.3725490196078427</v>
      </c>
      <c r="EK61" s="245">
        <v>7.8431372549019605</v>
      </c>
      <c r="EL61" s="245">
        <v>11.274509803921569</v>
      </c>
      <c r="EM61" s="245">
        <v>6.8627450980392162</v>
      </c>
      <c r="EN61" s="246">
        <v>29.901960784313726</v>
      </c>
    </row>
    <row r="62" spans="1:144" ht="12" customHeight="1" x14ac:dyDescent="0.2">
      <c r="A62" s="236" t="s">
        <v>24</v>
      </c>
      <c r="B62" s="237">
        <v>4781</v>
      </c>
      <c r="C62" s="224">
        <v>422910.44232686603</v>
      </c>
      <c r="D62" s="224">
        <v>23044</v>
      </c>
      <c r="E62" s="226">
        <v>25839</v>
      </c>
      <c r="F62" s="226">
        <v>16672.889323656989</v>
      </c>
      <c r="G62" s="238">
        <v>21310.962949836638</v>
      </c>
      <c r="H62" s="228">
        <v>92.479443455288319</v>
      </c>
      <c r="I62" s="239">
        <v>23.760719514745869</v>
      </c>
      <c r="J62" s="239">
        <v>7.0696507006902314</v>
      </c>
      <c r="K62" s="239">
        <v>9.5377536080317924</v>
      </c>
      <c r="L62" s="239">
        <v>11.252875967370843</v>
      </c>
      <c r="M62" s="239">
        <v>12.215017778707384</v>
      </c>
      <c r="N62" s="239">
        <v>36.163982430453878</v>
      </c>
      <c r="O62" s="240">
        <v>4.4060175126197363</v>
      </c>
      <c r="P62" s="241">
        <v>3.1504652267335724</v>
      </c>
      <c r="Q62" s="242">
        <v>3.9807124665663474</v>
      </c>
      <c r="R62" s="243">
        <v>90.347177585308529</v>
      </c>
      <c r="S62" s="240">
        <v>5.3558726712514204</v>
      </c>
      <c r="T62" s="241">
        <v>3.977205057470111</v>
      </c>
      <c r="U62" s="242">
        <v>5.0012059493126033</v>
      </c>
      <c r="V62" s="243">
        <v>93.377984434869916</v>
      </c>
      <c r="W62" s="240">
        <v>5.6821989147387262</v>
      </c>
      <c r="X62" s="241">
        <v>3.8514888140629928</v>
      </c>
      <c r="Y62" s="242">
        <v>4.9412336236038437</v>
      </c>
      <c r="Z62" s="243">
        <v>86.959884681035462</v>
      </c>
      <c r="AA62" s="240">
        <v>5.8589732831444978</v>
      </c>
      <c r="AB62" s="241">
        <v>4.2390575590822088</v>
      </c>
      <c r="AC62" s="242">
        <v>5.4505915593462362</v>
      </c>
      <c r="AD62" s="243">
        <v>93.029807373023473</v>
      </c>
      <c r="AE62" s="240">
        <v>5.9637340392416016</v>
      </c>
      <c r="AF62" s="241">
        <v>4.4711648165451834</v>
      </c>
      <c r="AG62" s="242">
        <v>5.762006631435673</v>
      </c>
      <c r="AH62" s="243">
        <v>96.61743118525149</v>
      </c>
      <c r="AI62" s="240">
        <v>5.561430954259718</v>
      </c>
      <c r="AJ62" s="241">
        <v>4.0661149429294703</v>
      </c>
      <c r="AK62" s="242">
        <v>5.2996366393193384</v>
      </c>
      <c r="AL62" s="243">
        <v>95.292680659105173</v>
      </c>
      <c r="AM62" s="240">
        <v>5.1330284836972293</v>
      </c>
      <c r="AN62" s="241">
        <v>2.9869073069903189</v>
      </c>
      <c r="AO62" s="242">
        <v>3.7764413303526991</v>
      </c>
      <c r="AP62" s="243">
        <v>73.571408036150132</v>
      </c>
      <c r="AQ62" s="240">
        <v>5.4114636333504667</v>
      </c>
      <c r="AR62" s="241">
        <v>3.615901213950997</v>
      </c>
      <c r="AS62" s="242">
        <v>4.6002946810621204</v>
      </c>
      <c r="AT62" s="243">
        <v>85.010174561847379</v>
      </c>
      <c r="AU62" s="240">
        <v>5.5089092949610823</v>
      </c>
      <c r="AV62" s="241">
        <v>2.2436070924435305</v>
      </c>
      <c r="AW62" s="242">
        <v>2.8641489516387915</v>
      </c>
      <c r="AX62" s="243">
        <v>51.991216378505015</v>
      </c>
      <c r="AY62" s="240">
        <v>5.6542609488123414</v>
      </c>
      <c r="AZ62" s="241">
        <v>4.1574862272280733</v>
      </c>
      <c r="BA62" s="242">
        <v>5.273554184751239</v>
      </c>
      <c r="BB62" s="243">
        <v>93.266904949955162</v>
      </c>
      <c r="BC62" s="240">
        <v>5.400009205277204</v>
      </c>
      <c r="BD62" s="241">
        <v>3.9809565229794472</v>
      </c>
      <c r="BE62" s="242">
        <v>5.005590850360603</v>
      </c>
      <c r="BF62" s="243">
        <v>92.695968841476201</v>
      </c>
      <c r="BG62" s="240">
        <v>5.4921213149240371</v>
      </c>
      <c r="BH62" s="241">
        <v>5.1039610896775329</v>
      </c>
      <c r="BI62" s="242">
        <v>6.5061840076441877</v>
      </c>
      <c r="BJ62" s="243">
        <v>118.4639528985746</v>
      </c>
      <c r="BK62" s="240">
        <v>5.3970636701081229</v>
      </c>
      <c r="BL62" s="241">
        <v>3.0195463559286106</v>
      </c>
      <c r="BM62" s="242">
        <v>3.7696718919393386</v>
      </c>
      <c r="BN62" s="243">
        <v>69.846718926401294</v>
      </c>
      <c r="BO62" s="244">
        <v>33.333333333333329</v>
      </c>
      <c r="BP62" s="245">
        <v>6.2959411952700552</v>
      </c>
      <c r="BQ62" s="245">
        <v>5.9443911792905082</v>
      </c>
      <c r="BR62" s="245">
        <v>8.1176094598913391</v>
      </c>
      <c r="BS62" s="245">
        <v>8.9485458612975393</v>
      </c>
      <c r="BT62" s="243">
        <v>37.360178970917225</v>
      </c>
      <c r="BU62" s="244">
        <v>8.8547815820543097</v>
      </c>
      <c r="BV62" s="245">
        <v>9.5631641086186541</v>
      </c>
      <c r="BW62" s="245">
        <v>16.056670602125148</v>
      </c>
      <c r="BX62" s="245">
        <v>17.473435655253837</v>
      </c>
      <c r="BY62" s="245">
        <v>13.105076741440378</v>
      </c>
      <c r="BZ62" s="243">
        <v>34.946871310507674</v>
      </c>
      <c r="CA62" s="244">
        <v>3.0018761726078798</v>
      </c>
      <c r="CB62" s="245">
        <v>8.6303939962476548</v>
      </c>
      <c r="CC62" s="245">
        <v>17.636022514071296</v>
      </c>
      <c r="CD62" s="245">
        <v>15.75984990619137</v>
      </c>
      <c r="CE62" s="245">
        <v>22.138836772983115</v>
      </c>
      <c r="CF62" s="243">
        <v>32.833020637898684</v>
      </c>
      <c r="CG62" s="244">
        <v>1.1494252873563218</v>
      </c>
      <c r="CH62" s="245">
        <v>5.1724137931034484</v>
      </c>
      <c r="CI62" s="245">
        <v>14.367816091954023</v>
      </c>
      <c r="CJ62" s="245">
        <v>17.241379310344829</v>
      </c>
      <c r="CK62" s="245">
        <v>26.436781609195403</v>
      </c>
      <c r="CL62" s="243">
        <v>35.632183908045981</v>
      </c>
      <c r="CM62" s="244">
        <v>0</v>
      </c>
      <c r="CN62" s="245">
        <v>5.1020408163265305</v>
      </c>
      <c r="CO62" s="245">
        <v>15.306122448979592</v>
      </c>
      <c r="CP62" s="245">
        <v>22.448979591836736</v>
      </c>
      <c r="CQ62" s="245">
        <v>29.591836734693878</v>
      </c>
      <c r="CR62" s="243">
        <v>27.551020408163261</v>
      </c>
      <c r="CS62" s="244">
        <v>15.180467091295116</v>
      </c>
      <c r="CT62" s="245">
        <v>4.3524416135881099</v>
      </c>
      <c r="CU62" s="245">
        <v>8.598726114649681</v>
      </c>
      <c r="CV62" s="245">
        <v>11.358811040339702</v>
      </c>
      <c r="CW62" s="245">
        <v>16.348195329087048</v>
      </c>
      <c r="CX62" s="243">
        <v>44.161358811040344</v>
      </c>
      <c r="CY62" s="244">
        <v>30.37037037037037</v>
      </c>
      <c r="CZ62" s="245">
        <v>8.7037037037037042</v>
      </c>
      <c r="DA62" s="245">
        <v>6.481481481481481</v>
      </c>
      <c r="DB62" s="245">
        <v>9.6296296296296298</v>
      </c>
      <c r="DC62" s="245">
        <v>9.2592592592592595</v>
      </c>
      <c r="DD62" s="243">
        <v>35.555555555555557</v>
      </c>
      <c r="DE62" s="244">
        <v>25.596389426176657</v>
      </c>
      <c r="DF62" s="245">
        <v>7.7369439071566735</v>
      </c>
      <c r="DG62" s="245">
        <v>11.540941328175371</v>
      </c>
      <c r="DH62" s="245">
        <v>12.959381044487428</v>
      </c>
      <c r="DI62" s="245">
        <v>11.283043197936815</v>
      </c>
      <c r="DJ62" s="243">
        <v>30.883301096067058</v>
      </c>
      <c r="DK62" s="244">
        <v>32.87671232876712</v>
      </c>
      <c r="DL62" s="245">
        <v>13.698630136986301</v>
      </c>
      <c r="DM62" s="245">
        <v>9.5890410958904102</v>
      </c>
      <c r="DN62" s="245">
        <v>21.917808219178081</v>
      </c>
      <c r="DO62" s="245">
        <v>5.4794520547945202</v>
      </c>
      <c r="DP62" s="243">
        <v>16.43835616438356</v>
      </c>
      <c r="DQ62" s="244">
        <v>28.688524590163933</v>
      </c>
      <c r="DR62" s="245">
        <v>4.918032786885246</v>
      </c>
      <c r="DS62" s="245">
        <v>10.655737704918032</v>
      </c>
      <c r="DT62" s="245">
        <v>9.0163934426229506</v>
      </c>
      <c r="DU62" s="245">
        <v>12.295081967213115</v>
      </c>
      <c r="DV62" s="243">
        <v>34.42622950819672</v>
      </c>
      <c r="DW62" s="244">
        <v>30.05366726296959</v>
      </c>
      <c r="DX62" s="245">
        <v>9.1234347048300535</v>
      </c>
      <c r="DY62" s="245">
        <v>10.375670840787119</v>
      </c>
      <c r="DZ62" s="245">
        <v>9.4812164579606435</v>
      </c>
      <c r="EA62" s="245">
        <v>10.554561717352415</v>
      </c>
      <c r="EB62" s="243">
        <v>30.411449016100178</v>
      </c>
      <c r="EC62" s="244">
        <v>15.564738292011018</v>
      </c>
      <c r="ED62" s="245">
        <v>5.9228650137741052</v>
      </c>
      <c r="EE62" s="245">
        <v>8.5399449035812669</v>
      </c>
      <c r="EF62" s="245">
        <v>10.881542699724518</v>
      </c>
      <c r="EG62" s="245">
        <v>14.049586776859504</v>
      </c>
      <c r="EH62" s="243">
        <v>45.041322314049587</v>
      </c>
      <c r="EI62" s="244">
        <v>35.874439461883405</v>
      </c>
      <c r="EJ62" s="245">
        <v>8.5201793721973083</v>
      </c>
      <c r="EK62" s="245">
        <v>8.071748878923767</v>
      </c>
      <c r="EL62" s="245">
        <v>8.071748878923767</v>
      </c>
      <c r="EM62" s="245">
        <v>7.623318385650224</v>
      </c>
      <c r="EN62" s="246">
        <v>31.838565022421523</v>
      </c>
    </row>
    <row r="63" spans="1:144" ht="12" customHeight="1" x14ac:dyDescent="0.2">
      <c r="A63" s="247" t="s">
        <v>43</v>
      </c>
      <c r="B63" s="237">
        <v>8259</v>
      </c>
      <c r="C63" s="224">
        <v>878051.35528449225</v>
      </c>
      <c r="D63" s="224">
        <v>48654</v>
      </c>
      <c r="E63" s="226">
        <v>58522</v>
      </c>
      <c r="F63" s="226">
        <v>37951.855387039825</v>
      </c>
      <c r="G63" s="238">
        <v>48168.980142962762</v>
      </c>
      <c r="H63" s="228">
        <v>99.003124394628941</v>
      </c>
      <c r="I63" s="239">
        <v>24.712434919481776</v>
      </c>
      <c r="J63" s="239">
        <v>7.5432861121201107</v>
      </c>
      <c r="K63" s="239">
        <v>9.6621867054122781</v>
      </c>
      <c r="L63" s="239">
        <v>11.490495217338662</v>
      </c>
      <c r="M63" s="239">
        <v>10.364450902046253</v>
      </c>
      <c r="N63" s="239">
        <v>36.227146143600919</v>
      </c>
      <c r="O63" s="240">
        <v>4.3942275977664247</v>
      </c>
      <c r="P63" s="241">
        <v>3.0918551943712229</v>
      </c>
      <c r="Q63" s="242">
        <v>3.8721603167729617</v>
      </c>
      <c r="R63" s="243">
        <v>88.11924805035521</v>
      </c>
      <c r="S63" s="240">
        <v>5.3414745631272567</v>
      </c>
      <c r="T63" s="241">
        <v>4.0613235383138999</v>
      </c>
      <c r="U63" s="242">
        <v>5.1532504002631399</v>
      </c>
      <c r="V63" s="243">
        <v>96.476175995230832</v>
      </c>
      <c r="W63" s="240">
        <v>5.6919058354628813</v>
      </c>
      <c r="X63" s="241">
        <v>3.9192834819643418</v>
      </c>
      <c r="Y63" s="242">
        <v>5.0204719276837206</v>
      </c>
      <c r="Z63" s="243">
        <v>88.203706681233996</v>
      </c>
      <c r="AA63" s="240">
        <v>5.8512596686899387</v>
      </c>
      <c r="AB63" s="241">
        <v>4.6617581606608489</v>
      </c>
      <c r="AC63" s="242">
        <v>5.8751623330827103</v>
      </c>
      <c r="AD63" s="243">
        <v>100.40850459125366</v>
      </c>
      <c r="AE63" s="240">
        <v>5.9695158891768481</v>
      </c>
      <c r="AF63" s="241">
        <v>4.9950427943841049</v>
      </c>
      <c r="AG63" s="242">
        <v>6.3581635143669946</v>
      </c>
      <c r="AH63" s="243">
        <v>106.51053841559903</v>
      </c>
      <c r="AI63" s="240">
        <v>5.4938027222760972</v>
      </c>
      <c r="AJ63" s="241">
        <v>4.5211836561162064</v>
      </c>
      <c r="AK63" s="242">
        <v>5.9139555093012754</v>
      </c>
      <c r="AL63" s="243">
        <v>107.64775890698726</v>
      </c>
      <c r="AM63" s="240">
        <v>5.1143456964531566</v>
      </c>
      <c r="AN63" s="241">
        <v>3.0866038569221583</v>
      </c>
      <c r="AO63" s="242">
        <v>3.938709224146681</v>
      </c>
      <c r="AP63" s="243">
        <v>77.012964275727597</v>
      </c>
      <c r="AQ63" s="240">
        <v>5.6115774165522536</v>
      </c>
      <c r="AR63" s="241">
        <v>3.5715081186818551</v>
      </c>
      <c r="AS63" s="242">
        <v>4.528674938440723</v>
      </c>
      <c r="AT63" s="243">
        <v>80.702351625456771</v>
      </c>
      <c r="AU63" s="240">
        <v>5.3714375180341909</v>
      </c>
      <c r="AV63" s="241">
        <v>2.6607603996493983</v>
      </c>
      <c r="AW63" s="242">
        <v>3.1115871343284884</v>
      </c>
      <c r="AX63" s="243">
        <v>57.928387398747041</v>
      </c>
      <c r="AY63" s="240">
        <v>5.8189305213936571</v>
      </c>
      <c r="AZ63" s="241">
        <v>3.6384791823740747</v>
      </c>
      <c r="BA63" s="242">
        <v>4.557847393141591</v>
      </c>
      <c r="BB63" s="243">
        <v>78.327922569007896</v>
      </c>
      <c r="BC63" s="240">
        <v>5.463056115965081</v>
      </c>
      <c r="BD63" s="241">
        <v>3.7101732289434204</v>
      </c>
      <c r="BE63" s="242">
        <v>4.5811297676387728</v>
      </c>
      <c r="BF63" s="243">
        <v>83.856538728405297</v>
      </c>
      <c r="BG63" s="240">
        <v>5.6151952424890572</v>
      </c>
      <c r="BH63" s="241">
        <v>7.2176686088327004</v>
      </c>
      <c r="BI63" s="242">
        <v>9.1234194500608634</v>
      </c>
      <c r="BJ63" s="243">
        <v>162.4773325961273</v>
      </c>
      <c r="BK63" s="240">
        <v>5.2705950820329477</v>
      </c>
      <c r="BL63" s="241">
        <v>2.8608325326630428</v>
      </c>
      <c r="BM63" s="242">
        <v>3.5460878328985381</v>
      </c>
      <c r="BN63" s="243">
        <v>67.280596928928915</v>
      </c>
      <c r="BO63" s="244">
        <v>34.636976047904191</v>
      </c>
      <c r="BP63" s="245">
        <v>6.0254491017964078</v>
      </c>
      <c r="BQ63" s="245">
        <v>6.6055389221556888</v>
      </c>
      <c r="BR63" s="245">
        <v>8.2522455089820355</v>
      </c>
      <c r="BS63" s="245">
        <v>8.1212574850299397</v>
      </c>
      <c r="BT63" s="243">
        <v>36.358532934131738</v>
      </c>
      <c r="BU63" s="244">
        <v>10.322156476002629</v>
      </c>
      <c r="BV63" s="245">
        <v>10.650887573964498</v>
      </c>
      <c r="BW63" s="245">
        <v>14.003944773175542</v>
      </c>
      <c r="BX63" s="245">
        <v>16.896778435239973</v>
      </c>
      <c r="BY63" s="245">
        <v>12.163050624589086</v>
      </c>
      <c r="BZ63" s="243">
        <v>35.963182117028268</v>
      </c>
      <c r="CA63" s="244">
        <v>3.2110091743119269</v>
      </c>
      <c r="CB63" s="245">
        <v>11.467889908256881</v>
      </c>
      <c r="CC63" s="245">
        <v>15.481651376146788</v>
      </c>
      <c r="CD63" s="245">
        <v>18.004587155963304</v>
      </c>
      <c r="CE63" s="245">
        <v>16.399082568807337</v>
      </c>
      <c r="CF63" s="243">
        <v>35.435779816513765</v>
      </c>
      <c r="CG63" s="244">
        <v>1.3559322033898304</v>
      </c>
      <c r="CH63" s="245">
        <v>6.7796610169491522</v>
      </c>
      <c r="CI63" s="245">
        <v>22.033898305084744</v>
      </c>
      <c r="CJ63" s="245">
        <v>16.271186440677965</v>
      </c>
      <c r="CK63" s="245">
        <v>17.288135593220339</v>
      </c>
      <c r="CL63" s="243">
        <v>36.271186440677965</v>
      </c>
      <c r="CM63" s="244">
        <v>0.44052863436123352</v>
      </c>
      <c r="CN63" s="245">
        <v>8.3700440528634363</v>
      </c>
      <c r="CO63" s="245">
        <v>14.096916299559473</v>
      </c>
      <c r="CP63" s="245">
        <v>20.264317180616739</v>
      </c>
      <c r="CQ63" s="245">
        <v>18.942731277533039</v>
      </c>
      <c r="CR63" s="243">
        <v>37.885462555066077</v>
      </c>
      <c r="CS63" s="244">
        <v>15.209359605911329</v>
      </c>
      <c r="CT63" s="245">
        <v>5.8497536945812803</v>
      </c>
      <c r="CU63" s="245">
        <v>9.6674876847290641</v>
      </c>
      <c r="CV63" s="245">
        <v>11.206896551724139</v>
      </c>
      <c r="CW63" s="245">
        <v>11.88423645320197</v>
      </c>
      <c r="CX63" s="243">
        <v>46.182266009852221</v>
      </c>
      <c r="CY63" s="244">
        <v>32.7683615819209</v>
      </c>
      <c r="CZ63" s="245">
        <v>6.4406779661016946</v>
      </c>
      <c r="DA63" s="245">
        <v>6.8926553672316384</v>
      </c>
      <c r="DB63" s="245">
        <v>10.508474576271185</v>
      </c>
      <c r="DC63" s="245">
        <v>8.9265536723163841</v>
      </c>
      <c r="DD63" s="243">
        <v>34.463276836158194</v>
      </c>
      <c r="DE63" s="244">
        <v>27.293666026871399</v>
      </c>
      <c r="DF63" s="245">
        <v>8.3685220729366598</v>
      </c>
      <c r="DG63" s="245">
        <v>10.556621880998081</v>
      </c>
      <c r="DH63" s="245">
        <v>11.708253358925145</v>
      </c>
      <c r="DI63" s="245">
        <v>10.518234165067177</v>
      </c>
      <c r="DJ63" s="243">
        <v>31.554702495201536</v>
      </c>
      <c r="DK63" s="244">
        <v>42.452830188679243</v>
      </c>
      <c r="DL63" s="245">
        <v>10.849056603773585</v>
      </c>
      <c r="DM63" s="245">
        <v>13.20754716981132</v>
      </c>
      <c r="DN63" s="245">
        <v>11.320754716981133</v>
      </c>
      <c r="DO63" s="245">
        <v>6.132075471698113</v>
      </c>
      <c r="DP63" s="243">
        <v>16.037735849056602</v>
      </c>
      <c r="DQ63" s="244">
        <v>26.804123711340207</v>
      </c>
      <c r="DR63" s="245">
        <v>8.2474226804123703</v>
      </c>
      <c r="DS63" s="245">
        <v>10.309278350515463</v>
      </c>
      <c r="DT63" s="245">
        <v>15.463917525773196</v>
      </c>
      <c r="DU63" s="245">
        <v>13.402061855670103</v>
      </c>
      <c r="DV63" s="243">
        <v>25.773195876288657</v>
      </c>
      <c r="DW63" s="244">
        <v>30.527289546716002</v>
      </c>
      <c r="DX63" s="245">
        <v>9.3432007400555044</v>
      </c>
      <c r="DY63" s="245">
        <v>10.823311748381128</v>
      </c>
      <c r="DZ63" s="245">
        <v>11.748381128584644</v>
      </c>
      <c r="EA63" s="245">
        <v>8.9731729879740989</v>
      </c>
      <c r="EB63" s="243">
        <v>28.584643848288621</v>
      </c>
      <c r="EC63" s="244">
        <v>15.5955441302485</v>
      </c>
      <c r="ED63" s="245">
        <v>6.5124250214224508</v>
      </c>
      <c r="EE63" s="245">
        <v>7.8834618680377044</v>
      </c>
      <c r="EF63" s="245">
        <v>11.910882604970009</v>
      </c>
      <c r="EG63" s="245">
        <v>11.139674378748929</v>
      </c>
      <c r="EH63" s="243">
        <v>46.958011996572409</v>
      </c>
      <c r="EI63" s="244">
        <v>29.620853080568722</v>
      </c>
      <c r="EJ63" s="245">
        <v>8.5308056872037916</v>
      </c>
      <c r="EK63" s="245">
        <v>10.66350710900474</v>
      </c>
      <c r="EL63" s="245">
        <v>10.189573459715639</v>
      </c>
      <c r="EM63" s="245">
        <v>8.7677725118483423</v>
      </c>
      <c r="EN63" s="246">
        <v>32.227488151658768</v>
      </c>
    </row>
    <row r="64" spans="1:144" ht="12" customHeight="1" x14ac:dyDescent="0.2">
      <c r="A64" s="236" t="s">
        <v>33</v>
      </c>
      <c r="B64" s="237">
        <v>7904</v>
      </c>
      <c r="C64" s="224">
        <v>878248.56367596681</v>
      </c>
      <c r="D64" s="224">
        <v>48822</v>
      </c>
      <c r="E64" s="226">
        <v>49103</v>
      </c>
      <c r="F64" s="226">
        <v>32545.65526811513</v>
      </c>
      <c r="G64" s="238">
        <v>41834.247155822442</v>
      </c>
      <c r="H64" s="228">
        <v>85.687286788379097</v>
      </c>
      <c r="I64" s="239">
        <v>25.708502024291498</v>
      </c>
      <c r="J64" s="239">
        <v>7.5657894736842106</v>
      </c>
      <c r="K64" s="239">
        <v>9.1852226720647767</v>
      </c>
      <c r="L64" s="239">
        <v>11.601720647773279</v>
      </c>
      <c r="M64" s="239">
        <v>10.842611336032389</v>
      </c>
      <c r="N64" s="239">
        <v>35.096153846153847</v>
      </c>
      <c r="O64" s="240">
        <v>4.366336694283687</v>
      </c>
      <c r="P64" s="241">
        <v>2.8764575955740641</v>
      </c>
      <c r="Q64" s="242">
        <v>3.6196083816167319</v>
      </c>
      <c r="R64" s="243">
        <v>82.898059289734675</v>
      </c>
      <c r="S64" s="240">
        <v>5.3675698343809621</v>
      </c>
      <c r="T64" s="241">
        <v>3.8078404202870426</v>
      </c>
      <c r="U64" s="242">
        <v>4.8708950591550213</v>
      </c>
      <c r="V64" s="243">
        <v>90.74674777318063</v>
      </c>
      <c r="W64" s="240">
        <v>5.6824972129689906</v>
      </c>
      <c r="X64" s="241">
        <v>3.6538722428248778</v>
      </c>
      <c r="Y64" s="242">
        <v>4.7512075948195323</v>
      </c>
      <c r="Z64" s="243">
        <v>83.611261330247487</v>
      </c>
      <c r="AA64" s="240">
        <v>5.8576928438924352</v>
      </c>
      <c r="AB64" s="241">
        <v>4.0462363619891164</v>
      </c>
      <c r="AC64" s="242">
        <v>5.2602284825653465</v>
      </c>
      <c r="AD64" s="243">
        <v>89.800346702199661</v>
      </c>
      <c r="AE64" s="240">
        <v>5.9758470441008527</v>
      </c>
      <c r="AF64" s="241">
        <v>3.9504615527227003</v>
      </c>
      <c r="AG64" s="242">
        <v>5.0812898070300463</v>
      </c>
      <c r="AH64" s="243">
        <v>85.030452913719046</v>
      </c>
      <c r="AI64" s="240">
        <v>5.6598601722277362</v>
      </c>
      <c r="AJ64" s="241">
        <v>4.1342760003888612</v>
      </c>
      <c r="AK64" s="242">
        <v>5.3609805540441311</v>
      </c>
      <c r="AL64" s="243">
        <v>94.719310917782536</v>
      </c>
      <c r="AM64" s="240">
        <v>5.1605690514059548</v>
      </c>
      <c r="AN64" s="241">
        <v>2.9242212228175011</v>
      </c>
      <c r="AO64" s="242">
        <v>3.8091184288981355</v>
      </c>
      <c r="AP64" s="243">
        <v>73.811984510901425</v>
      </c>
      <c r="AQ64" s="240">
        <v>5.4476500694916909</v>
      </c>
      <c r="AR64" s="241">
        <v>2.9376738319879983</v>
      </c>
      <c r="AS64" s="242">
        <v>3.6757617224987662</v>
      </c>
      <c r="AT64" s="243">
        <v>67.474262766693144</v>
      </c>
      <c r="AU64" s="240">
        <v>5.9068668078136479</v>
      </c>
      <c r="AV64" s="241">
        <v>4.3492756852136925</v>
      </c>
      <c r="AW64" s="242">
        <v>5.7952863036455975</v>
      </c>
      <c r="AX64" s="243">
        <v>98.111003552332505</v>
      </c>
      <c r="AY64" s="240">
        <v>5.6607418549843542</v>
      </c>
      <c r="AZ64" s="241">
        <v>3.7523492761895381</v>
      </c>
      <c r="BA64" s="242">
        <v>4.7188440941624563</v>
      </c>
      <c r="BB64" s="243">
        <v>83.360877691454078</v>
      </c>
      <c r="BC64" s="240">
        <v>5.4508194087347608</v>
      </c>
      <c r="BD64" s="241">
        <v>3.481375782349355</v>
      </c>
      <c r="BE64" s="242">
        <v>4.4252027643873673</v>
      </c>
      <c r="BF64" s="243">
        <v>81.184174938838083</v>
      </c>
      <c r="BG64" s="240">
        <v>5.5966327229056452</v>
      </c>
      <c r="BH64" s="241">
        <v>4.3767943244031002</v>
      </c>
      <c r="BI64" s="242">
        <v>5.6383006928690289</v>
      </c>
      <c r="BJ64" s="243">
        <v>100.74451857083362</v>
      </c>
      <c r="BK64" s="240">
        <v>5.1780304225733786</v>
      </c>
      <c r="BL64" s="241">
        <v>2.6247721052948743</v>
      </c>
      <c r="BM64" s="242">
        <v>3.2788626871633002</v>
      </c>
      <c r="BN64" s="243">
        <v>63.322584449663587</v>
      </c>
      <c r="BO64" s="244">
        <v>35.857115123277033</v>
      </c>
      <c r="BP64" s="245">
        <v>6.4259367113181902</v>
      </c>
      <c r="BQ64" s="245">
        <v>5.7076295864880606</v>
      </c>
      <c r="BR64" s="245">
        <v>8.1731702582022905</v>
      </c>
      <c r="BS64" s="245">
        <v>8.3478936128907009</v>
      </c>
      <c r="BT64" s="243">
        <v>35.488254707823721</v>
      </c>
      <c r="BU64" s="244">
        <v>11.272727272727273</v>
      </c>
      <c r="BV64" s="245">
        <v>9.745454545454546</v>
      </c>
      <c r="BW64" s="245">
        <v>14.472727272727273</v>
      </c>
      <c r="BX64" s="245">
        <v>16.072727272727271</v>
      </c>
      <c r="BY64" s="245">
        <v>13.163636363636364</v>
      </c>
      <c r="BZ64" s="243">
        <v>35.272727272727273</v>
      </c>
      <c r="CA64" s="244">
        <v>2.705749718151071</v>
      </c>
      <c r="CB64" s="245">
        <v>11.048478015783541</v>
      </c>
      <c r="CC64" s="245">
        <v>18.151071025930101</v>
      </c>
      <c r="CD64" s="245">
        <v>18.714768883878243</v>
      </c>
      <c r="CE64" s="245">
        <v>15.896279594137541</v>
      </c>
      <c r="CF64" s="243">
        <v>33.483652762119505</v>
      </c>
      <c r="CG64" s="244">
        <v>2.0618556701030926</v>
      </c>
      <c r="CH64" s="245">
        <v>5.8419243986254292</v>
      </c>
      <c r="CI64" s="245">
        <v>14.432989690721648</v>
      </c>
      <c r="CJ64" s="245">
        <v>23.024054982817869</v>
      </c>
      <c r="CK64" s="245">
        <v>17.182130584192439</v>
      </c>
      <c r="CL64" s="243">
        <v>37.457044673539521</v>
      </c>
      <c r="CM64" s="244">
        <v>0</v>
      </c>
      <c r="CN64" s="245">
        <v>9</v>
      </c>
      <c r="CO64" s="245">
        <v>15</v>
      </c>
      <c r="CP64" s="245">
        <v>21</v>
      </c>
      <c r="CQ64" s="245">
        <v>27.500000000000004</v>
      </c>
      <c r="CR64" s="243">
        <v>27.500000000000004</v>
      </c>
      <c r="CS64" s="244">
        <v>16.67590027700831</v>
      </c>
      <c r="CT64" s="245">
        <v>6.9806094182825493</v>
      </c>
      <c r="CU64" s="245">
        <v>8.7534626038781163</v>
      </c>
      <c r="CV64" s="245">
        <v>11.523545706371191</v>
      </c>
      <c r="CW64" s="245">
        <v>12.686980609418283</v>
      </c>
      <c r="CX64" s="243">
        <v>43.37950138504155</v>
      </c>
      <c r="CY64" s="244">
        <v>31.448763250883395</v>
      </c>
      <c r="CZ64" s="245">
        <v>6.5959952885747937</v>
      </c>
      <c r="DA64" s="245">
        <v>6.2426383981154299</v>
      </c>
      <c r="DB64" s="245">
        <v>8.7161366313309774</v>
      </c>
      <c r="DC64" s="245">
        <v>10.71849234393404</v>
      </c>
      <c r="DD64" s="243">
        <v>36.277974087161368</v>
      </c>
      <c r="DE64" s="244">
        <v>29.120879120879124</v>
      </c>
      <c r="DF64" s="245">
        <v>8.0847723704866556</v>
      </c>
      <c r="DG64" s="245">
        <v>9.8901098901098905</v>
      </c>
      <c r="DH64" s="245">
        <v>12.794348508634224</v>
      </c>
      <c r="DI64" s="245">
        <v>9.8508634222919937</v>
      </c>
      <c r="DJ64" s="243">
        <v>30.259026687598116</v>
      </c>
      <c r="DK64" s="244">
        <v>34.693877551020407</v>
      </c>
      <c r="DL64" s="245">
        <v>9.5238095238095237</v>
      </c>
      <c r="DM64" s="245">
        <v>14.285714285714285</v>
      </c>
      <c r="DN64" s="245">
        <v>13.605442176870749</v>
      </c>
      <c r="DO64" s="245">
        <v>6.1224489795918364</v>
      </c>
      <c r="DP64" s="243">
        <v>21.768707482993197</v>
      </c>
      <c r="DQ64" s="244">
        <v>34.008097165991899</v>
      </c>
      <c r="DR64" s="245">
        <v>6.8825910931174086</v>
      </c>
      <c r="DS64" s="245">
        <v>8.9068825910931171</v>
      </c>
      <c r="DT64" s="245">
        <v>12.145748987854251</v>
      </c>
      <c r="DU64" s="245">
        <v>10.121457489878543</v>
      </c>
      <c r="DV64" s="243">
        <v>27.935222672064778</v>
      </c>
      <c r="DW64" s="244">
        <v>29.186046511627907</v>
      </c>
      <c r="DX64" s="245">
        <v>9.8837209302325579</v>
      </c>
      <c r="DY64" s="245">
        <v>10.348837209302324</v>
      </c>
      <c r="DZ64" s="245">
        <v>11.162790697674419</v>
      </c>
      <c r="EA64" s="245">
        <v>10.58139534883721</v>
      </c>
      <c r="EB64" s="243">
        <v>28.837209302325583</v>
      </c>
      <c r="EC64" s="244">
        <v>17.399438727782975</v>
      </c>
      <c r="ED64" s="245">
        <v>6.1739943872778298</v>
      </c>
      <c r="EE64" s="245">
        <v>8.3255378858746489</v>
      </c>
      <c r="EF64" s="245">
        <v>11.506080449017773</v>
      </c>
      <c r="EG64" s="245">
        <v>12.815715622076706</v>
      </c>
      <c r="EH64" s="243">
        <v>43.779232927970064</v>
      </c>
      <c r="EI64" s="244">
        <v>41.618497109826592</v>
      </c>
      <c r="EJ64" s="245">
        <v>6.9364161849710975</v>
      </c>
      <c r="EK64" s="245">
        <v>11.271676300578035</v>
      </c>
      <c r="EL64" s="245">
        <v>10.693641618497111</v>
      </c>
      <c r="EM64" s="245">
        <v>6.0693641618497107</v>
      </c>
      <c r="EN64" s="246">
        <v>23.410404624277454</v>
      </c>
    </row>
    <row r="65" spans="1:144" ht="12" customHeight="1" x14ac:dyDescent="0.2">
      <c r="A65" s="236" t="s">
        <v>25</v>
      </c>
      <c r="B65" s="237">
        <v>6747</v>
      </c>
      <c r="C65" s="224">
        <v>681533.80781341461</v>
      </c>
      <c r="D65" s="224">
        <v>37569</v>
      </c>
      <c r="E65" s="226">
        <v>41251</v>
      </c>
      <c r="F65" s="226">
        <v>26518.853017451926</v>
      </c>
      <c r="G65" s="238">
        <v>33547.012508868058</v>
      </c>
      <c r="H65" s="228">
        <v>89.294398330719631</v>
      </c>
      <c r="I65" s="239">
        <v>23.239958500074106</v>
      </c>
      <c r="J65" s="239">
        <v>8.5371276122721209</v>
      </c>
      <c r="K65" s="239">
        <v>10.463909885875204</v>
      </c>
      <c r="L65" s="239">
        <v>13.131762264710241</v>
      </c>
      <c r="M65" s="239">
        <v>11.397658218467468</v>
      </c>
      <c r="N65" s="239">
        <v>33.229583518600862</v>
      </c>
      <c r="O65" s="240">
        <v>4.3805003976595094</v>
      </c>
      <c r="P65" s="241">
        <v>2.9137636735826109</v>
      </c>
      <c r="Q65" s="242">
        <v>3.6228816152489371</v>
      </c>
      <c r="R65" s="243">
        <v>82.704743439462618</v>
      </c>
      <c r="S65" s="240">
        <v>5.3540817445594717</v>
      </c>
      <c r="T65" s="241">
        <v>3.4060224011529106</v>
      </c>
      <c r="U65" s="242">
        <v>4.3060840635173943</v>
      </c>
      <c r="V65" s="243">
        <v>80.426191996284018</v>
      </c>
      <c r="W65" s="240">
        <v>5.677958740993919</v>
      </c>
      <c r="X65" s="241">
        <v>3.7679961203311256</v>
      </c>
      <c r="Y65" s="242">
        <v>4.7463550685304918</v>
      </c>
      <c r="Z65" s="243">
        <v>83.592630468809091</v>
      </c>
      <c r="AA65" s="240">
        <v>5.8508941837848099</v>
      </c>
      <c r="AB65" s="241">
        <v>4.3779676521582696</v>
      </c>
      <c r="AC65" s="242">
        <v>5.5031962692939036</v>
      </c>
      <c r="AD65" s="243">
        <v>94.057354251004625</v>
      </c>
      <c r="AE65" s="240">
        <v>5.9679140046071693</v>
      </c>
      <c r="AF65" s="241">
        <v>4.4787964421278472</v>
      </c>
      <c r="AG65" s="242">
        <v>5.7226546320272682</v>
      </c>
      <c r="AH65" s="243">
        <v>95.890366845256764</v>
      </c>
      <c r="AI65" s="240">
        <v>5.5851877575692157</v>
      </c>
      <c r="AJ65" s="241">
        <v>4.2477453498277873</v>
      </c>
      <c r="AK65" s="242">
        <v>5.4776616506580043</v>
      </c>
      <c r="AL65" s="243">
        <v>98.074798707250466</v>
      </c>
      <c r="AM65" s="240">
        <v>5.1921995318540821</v>
      </c>
      <c r="AN65" s="241">
        <v>2.9473002624673428</v>
      </c>
      <c r="AO65" s="242">
        <v>3.7295085875626688</v>
      </c>
      <c r="AP65" s="243">
        <v>71.829069061814337</v>
      </c>
      <c r="AQ65" s="240">
        <v>5.4079372952124229</v>
      </c>
      <c r="AR65" s="241">
        <v>3.218797845282479</v>
      </c>
      <c r="AS65" s="242">
        <v>4.0650960552841857</v>
      </c>
      <c r="AT65" s="243">
        <v>75.169067860364464</v>
      </c>
      <c r="AU65" s="240">
        <v>5.5443264378350801</v>
      </c>
      <c r="AV65" s="241">
        <v>2.2883596270485715</v>
      </c>
      <c r="AW65" s="242">
        <v>2.688565520034635</v>
      </c>
      <c r="AX65" s="243">
        <v>48.492193780069933</v>
      </c>
      <c r="AY65" s="240">
        <v>5.8989828467026797</v>
      </c>
      <c r="AZ65" s="241">
        <v>3.9221956143144365</v>
      </c>
      <c r="BA65" s="242">
        <v>5.0590653552684186</v>
      </c>
      <c r="BB65" s="243">
        <v>85.761655640281347</v>
      </c>
      <c r="BC65" s="240">
        <v>5.2401664073698981</v>
      </c>
      <c r="BD65" s="241">
        <v>3.3437850913059508</v>
      </c>
      <c r="BE65" s="242">
        <v>4.0470504628111925</v>
      </c>
      <c r="BF65" s="243">
        <v>77.231334812560959</v>
      </c>
      <c r="BG65" s="240">
        <v>5.5411124278662554</v>
      </c>
      <c r="BH65" s="241">
        <v>5.9633079370730426</v>
      </c>
      <c r="BI65" s="242">
        <v>7.4299957909274728</v>
      </c>
      <c r="BJ65" s="243">
        <v>134.08852261437653</v>
      </c>
      <c r="BK65" s="240">
        <v>5.3389004361530468</v>
      </c>
      <c r="BL65" s="241">
        <v>2.7313022151916657</v>
      </c>
      <c r="BM65" s="242">
        <v>3.4180227499120099</v>
      </c>
      <c r="BN65" s="243">
        <v>64.021099302890761</v>
      </c>
      <c r="BO65" s="244">
        <v>33.262310606060609</v>
      </c>
      <c r="BP65" s="245">
        <v>8.0729166666666679</v>
      </c>
      <c r="BQ65" s="245">
        <v>6.3920454545454541</v>
      </c>
      <c r="BR65" s="245">
        <v>9.0198863636363633</v>
      </c>
      <c r="BS65" s="245">
        <v>8.1912878787878789</v>
      </c>
      <c r="BT65" s="243">
        <v>35.061553030303031</v>
      </c>
      <c r="BU65" s="244">
        <v>11.024237685691947</v>
      </c>
      <c r="BV65" s="245">
        <v>10.16419077404222</v>
      </c>
      <c r="BW65" s="245">
        <v>16.419077404222048</v>
      </c>
      <c r="BX65" s="245">
        <v>16.497263487099296</v>
      </c>
      <c r="BY65" s="245">
        <v>14.229867083659109</v>
      </c>
      <c r="BZ65" s="243">
        <v>31.665363565285382</v>
      </c>
      <c r="CA65" s="244">
        <v>2.3923444976076556</v>
      </c>
      <c r="CB65" s="245">
        <v>10.047846889952153</v>
      </c>
      <c r="CC65" s="245">
        <v>19.617224880382775</v>
      </c>
      <c r="CD65" s="245">
        <v>21.291866028708135</v>
      </c>
      <c r="CE65" s="245">
        <v>18.540669856459331</v>
      </c>
      <c r="CF65" s="243">
        <v>28.110047846889952</v>
      </c>
      <c r="CG65" s="244">
        <v>0.40322580645161288</v>
      </c>
      <c r="CH65" s="245">
        <v>7.2580645161290329</v>
      </c>
      <c r="CI65" s="245">
        <v>14.516129032258066</v>
      </c>
      <c r="CJ65" s="245">
        <v>28.225806451612907</v>
      </c>
      <c r="CK65" s="245">
        <v>20.967741935483872</v>
      </c>
      <c r="CL65" s="243">
        <v>28.62903225806452</v>
      </c>
      <c r="CM65" s="244">
        <v>0.625</v>
      </c>
      <c r="CN65" s="245">
        <v>1.875</v>
      </c>
      <c r="CO65" s="245">
        <v>16.25</v>
      </c>
      <c r="CP65" s="245">
        <v>28.749999999999996</v>
      </c>
      <c r="CQ65" s="245">
        <v>21.25</v>
      </c>
      <c r="CR65" s="243">
        <v>31.25</v>
      </c>
      <c r="CS65" s="244">
        <v>14.479638009049776</v>
      </c>
      <c r="CT65" s="245">
        <v>6.3348416289592757</v>
      </c>
      <c r="CU65" s="245">
        <v>8.9851325145442793</v>
      </c>
      <c r="CV65" s="245">
        <v>13.962508080155139</v>
      </c>
      <c r="CW65" s="245">
        <v>14.350355526826114</v>
      </c>
      <c r="CX65" s="243">
        <v>41.887524240465417</v>
      </c>
      <c r="CY65" s="244">
        <v>27.625899280575538</v>
      </c>
      <c r="CZ65" s="245">
        <v>8.9208633093525176</v>
      </c>
      <c r="DA65" s="245">
        <v>10.503597122302159</v>
      </c>
      <c r="DB65" s="245">
        <v>9.4964028776978413</v>
      </c>
      <c r="DC65" s="245">
        <v>9.3525179856115113</v>
      </c>
      <c r="DD65" s="243">
        <v>34.100719424460429</v>
      </c>
      <c r="DE65" s="244">
        <v>24.777370350969093</v>
      </c>
      <c r="DF65" s="245">
        <v>8.3813514929282356</v>
      </c>
      <c r="DG65" s="245">
        <v>11.210057621791513</v>
      </c>
      <c r="DH65" s="245">
        <v>14.614981665793609</v>
      </c>
      <c r="DI65" s="245">
        <v>11.524358302776323</v>
      </c>
      <c r="DJ65" s="243">
        <v>29.491880565741223</v>
      </c>
      <c r="DK65" s="244">
        <v>36.224489795918366</v>
      </c>
      <c r="DL65" s="245">
        <v>11.73469387755102</v>
      </c>
      <c r="DM65" s="245">
        <v>16.326530612244898</v>
      </c>
      <c r="DN65" s="245">
        <v>13.77551020408163</v>
      </c>
      <c r="DO65" s="245">
        <v>6.6326530612244898</v>
      </c>
      <c r="DP65" s="243">
        <v>15.306122448979592</v>
      </c>
      <c r="DQ65" s="244">
        <v>27.27272727272727</v>
      </c>
      <c r="DR65" s="245">
        <v>11.229946524064172</v>
      </c>
      <c r="DS65" s="245">
        <v>13.368983957219251</v>
      </c>
      <c r="DT65" s="245">
        <v>16.577540106951872</v>
      </c>
      <c r="DU65" s="245">
        <v>10.160427807486631</v>
      </c>
      <c r="DV65" s="243">
        <v>21.390374331550802</v>
      </c>
      <c r="DW65" s="244">
        <v>31.739572736520856</v>
      </c>
      <c r="DX65" s="245">
        <v>10.478128179043743</v>
      </c>
      <c r="DY65" s="245">
        <v>11.597151576805697</v>
      </c>
      <c r="DZ65" s="245">
        <v>12.817904374364192</v>
      </c>
      <c r="EA65" s="245">
        <v>8.6469989827060019</v>
      </c>
      <c r="EB65" s="243">
        <v>24.720244150559513</v>
      </c>
      <c r="EC65" s="244">
        <v>12.995049504950495</v>
      </c>
      <c r="ED65" s="245">
        <v>7.4257425742574252</v>
      </c>
      <c r="EE65" s="245">
        <v>9.4059405940594054</v>
      </c>
      <c r="EF65" s="245">
        <v>12.5</v>
      </c>
      <c r="EG65" s="245">
        <v>12.995049504950495</v>
      </c>
      <c r="EH65" s="243">
        <v>44.678217821782177</v>
      </c>
      <c r="EI65" s="244">
        <v>35.356200527704488</v>
      </c>
      <c r="EJ65" s="245">
        <v>11.081794195250659</v>
      </c>
      <c r="EK65" s="245">
        <v>8.4432717678100264</v>
      </c>
      <c r="EL65" s="245">
        <v>9.2348284960422156</v>
      </c>
      <c r="EM65" s="245">
        <v>10.026385224274406</v>
      </c>
      <c r="EN65" s="246">
        <v>25.857519788918204</v>
      </c>
    </row>
    <row r="66" spans="1:144" ht="12" customHeight="1" x14ac:dyDescent="0.2">
      <c r="A66" s="236" t="s">
        <v>26</v>
      </c>
      <c r="B66" s="237">
        <v>5451</v>
      </c>
      <c r="C66" s="224">
        <v>486388.52240737481</v>
      </c>
      <c r="D66" s="224">
        <v>26526</v>
      </c>
      <c r="E66" s="226">
        <v>31601</v>
      </c>
      <c r="F66" s="226">
        <v>19870.727241581229</v>
      </c>
      <c r="G66" s="238">
        <v>25333.699541759412</v>
      </c>
      <c r="H66" s="228">
        <v>95.505163016509883</v>
      </c>
      <c r="I66" s="239">
        <v>21.830856723536964</v>
      </c>
      <c r="J66" s="239">
        <v>8.0168776371308024</v>
      </c>
      <c r="K66" s="239">
        <v>9.8147128967161983</v>
      </c>
      <c r="L66" s="239">
        <v>12.328013208585581</v>
      </c>
      <c r="M66" s="239">
        <v>12.089524857824252</v>
      </c>
      <c r="N66" s="239">
        <v>35.9200146762062</v>
      </c>
      <c r="O66" s="240">
        <v>4.3955708278319658</v>
      </c>
      <c r="P66" s="241">
        <v>3.2679269576667989</v>
      </c>
      <c r="Q66" s="242">
        <v>4.0697160158513253</v>
      </c>
      <c r="R66" s="243">
        <v>92.586746414882299</v>
      </c>
      <c r="S66" s="240">
        <v>5.3549766485317534</v>
      </c>
      <c r="T66" s="241">
        <v>3.8062515619147073</v>
      </c>
      <c r="U66" s="242">
        <v>4.7919708264739302</v>
      </c>
      <c r="V66" s="243">
        <v>89.486306682360791</v>
      </c>
      <c r="W66" s="240">
        <v>5.6812318599732778</v>
      </c>
      <c r="X66" s="241">
        <v>4.8632762231585449</v>
      </c>
      <c r="Y66" s="242">
        <v>6.2013720389037372</v>
      </c>
      <c r="Z66" s="243">
        <v>109.1554119203455</v>
      </c>
      <c r="AA66" s="240">
        <v>5.855169683257496</v>
      </c>
      <c r="AB66" s="241">
        <v>3.888668986860301</v>
      </c>
      <c r="AC66" s="242">
        <v>5.0737735566794218</v>
      </c>
      <c r="AD66" s="243">
        <v>86.654594677035092</v>
      </c>
      <c r="AE66" s="240">
        <v>5.9526778284629263</v>
      </c>
      <c r="AF66" s="241">
        <v>4.4230983305062441</v>
      </c>
      <c r="AG66" s="242">
        <v>5.6844192026392566</v>
      </c>
      <c r="AH66" s="243">
        <v>95.493479849674003</v>
      </c>
      <c r="AI66" s="240">
        <v>5.5641035576437483</v>
      </c>
      <c r="AJ66" s="241">
        <v>4.5231153375349908</v>
      </c>
      <c r="AK66" s="242">
        <v>5.9155788886259622</v>
      </c>
      <c r="AL66" s="243">
        <v>106.31683661781186</v>
      </c>
      <c r="AM66" s="240">
        <v>4.9656609900943733</v>
      </c>
      <c r="AN66" s="241">
        <v>2.8688560396486058</v>
      </c>
      <c r="AO66" s="242">
        <v>3.5783641345608048</v>
      </c>
      <c r="AP66" s="243">
        <v>72.062191553128912</v>
      </c>
      <c r="AQ66" s="240">
        <v>5.3806822226831352</v>
      </c>
      <c r="AR66" s="241">
        <v>3.4148308888199508</v>
      </c>
      <c r="AS66" s="242">
        <v>4.3386758941318559</v>
      </c>
      <c r="AT66" s="243">
        <v>80.634308338103807</v>
      </c>
      <c r="AU66" s="240">
        <v>5.3471238340569833</v>
      </c>
      <c r="AV66" s="241">
        <v>1.5086865587351179</v>
      </c>
      <c r="AW66" s="242">
        <v>1.7826736135565044</v>
      </c>
      <c r="AX66" s="243">
        <v>33.338925165754944</v>
      </c>
      <c r="AY66" s="240">
        <v>5.7913188654800596</v>
      </c>
      <c r="AZ66" s="241">
        <v>4.2906365692129844</v>
      </c>
      <c r="BA66" s="242">
        <v>5.325338484615207</v>
      </c>
      <c r="BB66" s="243">
        <v>91.953812392503679</v>
      </c>
      <c r="BC66" s="240">
        <v>5.4132766770950376</v>
      </c>
      <c r="BD66" s="241">
        <v>3.9223568175592796</v>
      </c>
      <c r="BE66" s="242">
        <v>4.9111423818739048</v>
      </c>
      <c r="BF66" s="243">
        <v>90.724023079297027</v>
      </c>
      <c r="BG66" s="240">
        <v>5.5311567695614183</v>
      </c>
      <c r="BH66" s="241">
        <v>5.8964171595274752</v>
      </c>
      <c r="BI66" s="242">
        <v>7.5064874724086987</v>
      </c>
      <c r="BJ66" s="243">
        <v>135.71279544484707</v>
      </c>
      <c r="BK66" s="240">
        <v>5.4061166274341508</v>
      </c>
      <c r="BL66" s="241">
        <v>3.3932138418187865</v>
      </c>
      <c r="BM66" s="242">
        <v>4.3106499768026225</v>
      </c>
      <c r="BN66" s="243">
        <v>79.736533150757083</v>
      </c>
      <c r="BO66" s="244">
        <v>31.978085351787772</v>
      </c>
      <c r="BP66" s="245">
        <v>7.6989619377162626</v>
      </c>
      <c r="BQ66" s="245">
        <v>6.9780853517877741</v>
      </c>
      <c r="BR66" s="245">
        <v>8.391003460207612</v>
      </c>
      <c r="BS66" s="245">
        <v>8.8235294117647065</v>
      </c>
      <c r="BT66" s="243">
        <v>36.130334486735869</v>
      </c>
      <c r="BU66" s="244">
        <v>6.7698259187620886</v>
      </c>
      <c r="BV66" s="245">
        <v>9.5744680851063837</v>
      </c>
      <c r="BW66" s="245">
        <v>15.667311411992262</v>
      </c>
      <c r="BX66" s="245">
        <v>17.311411992263057</v>
      </c>
      <c r="BY66" s="245">
        <v>14.70019342359768</v>
      </c>
      <c r="BZ66" s="243">
        <v>35.976789168278529</v>
      </c>
      <c r="CA66" s="244">
        <v>1.3029315960912053</v>
      </c>
      <c r="CB66" s="245">
        <v>8.7947882736156355</v>
      </c>
      <c r="CC66" s="245">
        <v>14.82084690553746</v>
      </c>
      <c r="CD66" s="245">
        <v>20.195439739413683</v>
      </c>
      <c r="CE66" s="245">
        <v>20.846905537459286</v>
      </c>
      <c r="CF66" s="243">
        <v>34.039087947882734</v>
      </c>
      <c r="CG66" s="244">
        <v>1.4705882352941175</v>
      </c>
      <c r="CH66" s="245">
        <v>4.4117647058823533</v>
      </c>
      <c r="CI66" s="245">
        <v>13.23529411764706</v>
      </c>
      <c r="CJ66" s="245">
        <v>25</v>
      </c>
      <c r="CK66" s="245">
        <v>19.607843137254903</v>
      </c>
      <c r="CL66" s="243">
        <v>36.274509803921568</v>
      </c>
      <c r="CM66" s="244">
        <v>0</v>
      </c>
      <c r="CN66" s="245">
        <v>6.1068702290076331</v>
      </c>
      <c r="CO66" s="245">
        <v>9.9236641221374047</v>
      </c>
      <c r="CP66" s="245">
        <v>20.610687022900763</v>
      </c>
      <c r="CQ66" s="245">
        <v>25.190839694656486</v>
      </c>
      <c r="CR66" s="243">
        <v>38.167938931297712</v>
      </c>
      <c r="CS66" s="244">
        <v>13.988657844990549</v>
      </c>
      <c r="CT66" s="245">
        <v>6.3327032136105856</v>
      </c>
      <c r="CU66" s="245">
        <v>8.8846880907372405</v>
      </c>
      <c r="CV66" s="245">
        <v>14.933837429111533</v>
      </c>
      <c r="CW66" s="245">
        <v>14.177693761814744</v>
      </c>
      <c r="CX66" s="243">
        <v>41.682419659735345</v>
      </c>
      <c r="CY66" s="244">
        <v>26.131386861313871</v>
      </c>
      <c r="CZ66" s="245">
        <v>8.905109489051096</v>
      </c>
      <c r="DA66" s="245">
        <v>9.4890510948905096</v>
      </c>
      <c r="DB66" s="245">
        <v>12.408759124087592</v>
      </c>
      <c r="DC66" s="245">
        <v>10.072992700729927</v>
      </c>
      <c r="DD66" s="243">
        <v>32.992700729927002</v>
      </c>
      <c r="DE66" s="244">
        <v>22.228637413394921</v>
      </c>
      <c r="DF66" s="245">
        <v>8.3140877598152425</v>
      </c>
      <c r="DG66" s="245">
        <v>9.6420323325635096</v>
      </c>
      <c r="DH66" s="245">
        <v>12.182448036951502</v>
      </c>
      <c r="DI66" s="245">
        <v>12.817551963048498</v>
      </c>
      <c r="DJ66" s="243">
        <v>34.815242494226325</v>
      </c>
      <c r="DK66" s="244">
        <v>42.537313432835823</v>
      </c>
      <c r="DL66" s="245">
        <v>11.940298507462686</v>
      </c>
      <c r="DM66" s="245">
        <v>13.432835820895523</v>
      </c>
      <c r="DN66" s="245">
        <v>8.9552238805970141</v>
      </c>
      <c r="DO66" s="245">
        <v>8.9552238805970141</v>
      </c>
      <c r="DP66" s="243">
        <v>14.17910447761194</v>
      </c>
      <c r="DQ66" s="244">
        <v>25.609756097560975</v>
      </c>
      <c r="DR66" s="245">
        <v>10.365853658536585</v>
      </c>
      <c r="DS66" s="245">
        <v>14.02439024390244</v>
      </c>
      <c r="DT66" s="245">
        <v>12.804878048780488</v>
      </c>
      <c r="DU66" s="245">
        <v>11.585365853658537</v>
      </c>
      <c r="DV66" s="243">
        <v>25.609756097560975</v>
      </c>
      <c r="DW66" s="244">
        <v>28.737300435413644</v>
      </c>
      <c r="DX66" s="245">
        <v>10.014513788098693</v>
      </c>
      <c r="DY66" s="245">
        <v>11.030478955007258</v>
      </c>
      <c r="DZ66" s="245">
        <v>11.175616835994195</v>
      </c>
      <c r="EA66" s="245">
        <v>12.191582002902758</v>
      </c>
      <c r="EB66" s="243">
        <v>26.850507982583455</v>
      </c>
      <c r="EC66" s="244">
        <v>12.990936555891238</v>
      </c>
      <c r="ED66" s="245">
        <v>5.7401812688821749</v>
      </c>
      <c r="EE66" s="245">
        <v>10.42296072507553</v>
      </c>
      <c r="EF66" s="245">
        <v>9.9697885196374632</v>
      </c>
      <c r="EG66" s="245">
        <v>10.876132930513595</v>
      </c>
      <c r="EH66" s="243">
        <v>50</v>
      </c>
      <c r="EI66" s="244">
        <v>30.742049469964666</v>
      </c>
      <c r="EJ66" s="245">
        <v>8.4805653710247348</v>
      </c>
      <c r="EK66" s="245">
        <v>6.3604240282685502</v>
      </c>
      <c r="EL66" s="245">
        <v>12.014134275618375</v>
      </c>
      <c r="EM66" s="245">
        <v>10.247349823321555</v>
      </c>
      <c r="EN66" s="246">
        <v>32.155477031802121</v>
      </c>
    </row>
    <row r="67" spans="1:144" ht="12" customHeight="1" x14ac:dyDescent="0.2">
      <c r="A67" s="236" t="s">
        <v>35</v>
      </c>
      <c r="B67" s="237">
        <v>9177</v>
      </c>
      <c r="C67" s="224">
        <v>784651.21158214577</v>
      </c>
      <c r="D67" s="224">
        <v>42517</v>
      </c>
      <c r="E67" s="226">
        <v>50117</v>
      </c>
      <c r="F67" s="226">
        <v>32242.36100200858</v>
      </c>
      <c r="G67" s="238">
        <v>41103.416320944816</v>
      </c>
      <c r="H67" s="228">
        <v>96.675250654902314</v>
      </c>
      <c r="I67" s="239">
        <v>23.26468344774981</v>
      </c>
      <c r="J67" s="239">
        <v>7.5079001852457239</v>
      </c>
      <c r="K67" s="239">
        <v>9.1751116922741645</v>
      </c>
      <c r="L67" s="239">
        <v>10.504522175002725</v>
      </c>
      <c r="M67" s="239">
        <v>10.373760488176965</v>
      </c>
      <c r="N67" s="239">
        <v>39.174022011550612</v>
      </c>
      <c r="O67" s="240">
        <v>4.3582011656102218</v>
      </c>
      <c r="P67" s="241">
        <v>3.3477466865645344</v>
      </c>
      <c r="Q67" s="242">
        <v>4.2028582341420115</v>
      </c>
      <c r="R67" s="243">
        <v>96.435618146909022</v>
      </c>
      <c r="S67" s="240">
        <v>5.3381267012595091</v>
      </c>
      <c r="T67" s="241">
        <v>4.057595430283957</v>
      </c>
      <c r="U67" s="242">
        <v>5.1754450671852457</v>
      </c>
      <c r="V67" s="243">
        <v>96.952458358924304</v>
      </c>
      <c r="W67" s="240">
        <v>5.6852645199457967</v>
      </c>
      <c r="X67" s="241">
        <v>4.4021691450685259</v>
      </c>
      <c r="Y67" s="242">
        <v>5.6168218361759354</v>
      </c>
      <c r="Z67" s="243">
        <v>98.796138974189489</v>
      </c>
      <c r="AA67" s="240">
        <v>5.8584959631705686</v>
      </c>
      <c r="AB67" s="241">
        <v>4.4654952986962426</v>
      </c>
      <c r="AC67" s="242">
        <v>5.6964945385811987</v>
      </c>
      <c r="AD67" s="243">
        <v>97.234760839509121</v>
      </c>
      <c r="AE67" s="240">
        <v>5.9667667685468508</v>
      </c>
      <c r="AF67" s="241">
        <v>4.4279440249885553</v>
      </c>
      <c r="AG67" s="242">
        <v>5.6902010463263784</v>
      </c>
      <c r="AH67" s="243">
        <v>95.364898060397493</v>
      </c>
      <c r="AI67" s="240">
        <v>5.4494999608476897</v>
      </c>
      <c r="AJ67" s="241">
        <v>4.7287725191507075</v>
      </c>
      <c r="AK67" s="242">
        <v>6.1584288092748549</v>
      </c>
      <c r="AL67" s="243">
        <v>113.00906236389604</v>
      </c>
      <c r="AM67" s="240">
        <v>5.1213679724610168</v>
      </c>
      <c r="AN67" s="241">
        <v>3.0313049561611476</v>
      </c>
      <c r="AO67" s="242">
        <v>3.8496783580929095</v>
      </c>
      <c r="AP67" s="243">
        <v>75.168946632885465</v>
      </c>
      <c r="AQ67" s="240">
        <v>5.302083394674769</v>
      </c>
      <c r="AR67" s="241">
        <v>3.5083304512289843</v>
      </c>
      <c r="AS67" s="242">
        <v>4.4567512806591703</v>
      </c>
      <c r="AT67" s="243">
        <v>84.056604713825877</v>
      </c>
      <c r="AU67" s="240">
        <v>5.4067062578186</v>
      </c>
      <c r="AV67" s="241">
        <v>5.2694289014562568</v>
      </c>
      <c r="AW67" s="242">
        <v>6.394401632886149</v>
      </c>
      <c r="AX67" s="243">
        <v>118.26796811162525</v>
      </c>
      <c r="AY67" s="240">
        <v>5.8833471409655589</v>
      </c>
      <c r="AZ67" s="241">
        <v>4.3622214925308596</v>
      </c>
      <c r="BA67" s="242">
        <v>5.5314168938343338</v>
      </c>
      <c r="BB67" s="243">
        <v>94.01819680703953</v>
      </c>
      <c r="BC67" s="240">
        <v>5.2864728483908854</v>
      </c>
      <c r="BD67" s="241">
        <v>3.4241887701329814</v>
      </c>
      <c r="BE67" s="242">
        <v>4.2528350634339809</v>
      </c>
      <c r="BF67" s="243">
        <v>80.447496570959842</v>
      </c>
      <c r="BG67" s="240">
        <v>5.4756730989907432</v>
      </c>
      <c r="BH67" s="241">
        <v>5.0951511619923942</v>
      </c>
      <c r="BI67" s="242">
        <v>6.4874424535522639</v>
      </c>
      <c r="BJ67" s="243">
        <v>118.47753392634061</v>
      </c>
      <c r="BK67" s="240">
        <v>5.1792944135115606</v>
      </c>
      <c r="BL67" s="241">
        <v>3.1648827437729836</v>
      </c>
      <c r="BM67" s="242">
        <v>4.0554365600807749</v>
      </c>
      <c r="BN67" s="243">
        <v>78.300946737090186</v>
      </c>
      <c r="BO67" s="244">
        <v>31.413026084173467</v>
      </c>
      <c r="BP67" s="245">
        <v>7.1851496239398305</v>
      </c>
      <c r="BQ67" s="245">
        <v>6.5610497679628743</v>
      </c>
      <c r="BR67" s="245">
        <v>7.8572571611457835</v>
      </c>
      <c r="BS67" s="245">
        <v>7.7292366778684594</v>
      </c>
      <c r="BT67" s="243">
        <v>39.254280684909588</v>
      </c>
      <c r="BU67" s="244">
        <v>9.1309823677581861</v>
      </c>
      <c r="BV67" s="245">
        <v>9.1309823677581861</v>
      </c>
      <c r="BW67" s="245">
        <v>15.30226700251889</v>
      </c>
      <c r="BX67" s="245">
        <v>14.357682619647354</v>
      </c>
      <c r="BY67" s="245">
        <v>12.97229219143577</v>
      </c>
      <c r="BZ67" s="243">
        <v>39.105793450881606</v>
      </c>
      <c r="CA67" s="244">
        <v>2.7442371020856204</v>
      </c>
      <c r="CB67" s="245">
        <v>7.7936333699231612</v>
      </c>
      <c r="CC67" s="245">
        <v>15.257958287596049</v>
      </c>
      <c r="CD67" s="245">
        <v>17.453347969264541</v>
      </c>
      <c r="CE67" s="245">
        <v>18.331503841931944</v>
      </c>
      <c r="CF67" s="243">
        <v>38.419319429198687</v>
      </c>
      <c r="CG67" s="244">
        <v>0.73260073260073255</v>
      </c>
      <c r="CH67" s="245">
        <v>5.4945054945054945</v>
      </c>
      <c r="CI67" s="245">
        <v>10.622710622710622</v>
      </c>
      <c r="CJ67" s="245">
        <v>18.681318681318682</v>
      </c>
      <c r="CK67" s="245">
        <v>23.076923076923077</v>
      </c>
      <c r="CL67" s="243">
        <v>41.391941391941387</v>
      </c>
      <c r="CM67" s="244">
        <v>0</v>
      </c>
      <c r="CN67" s="245">
        <v>5.7692307692307692</v>
      </c>
      <c r="CO67" s="245">
        <v>13.461538461538462</v>
      </c>
      <c r="CP67" s="245">
        <v>22.435897435897438</v>
      </c>
      <c r="CQ67" s="245">
        <v>21.153846153846153</v>
      </c>
      <c r="CR67" s="243">
        <v>37.179487179487182</v>
      </c>
      <c r="CS67" s="244">
        <v>16.014026884862652</v>
      </c>
      <c r="CT67" s="245">
        <v>6.4874342489772054</v>
      </c>
      <c r="CU67" s="245">
        <v>7.5978959672706017</v>
      </c>
      <c r="CV67" s="245">
        <v>9.8188194038573933</v>
      </c>
      <c r="CW67" s="245">
        <v>11.630625365283461</v>
      </c>
      <c r="CX67" s="243">
        <v>48.451198129748683</v>
      </c>
      <c r="CY67" s="244">
        <v>25.080042689434368</v>
      </c>
      <c r="CZ67" s="245">
        <v>9.28495197438634</v>
      </c>
      <c r="DA67" s="245">
        <v>7.5773745997865527</v>
      </c>
      <c r="DB67" s="245">
        <v>11.419423692636073</v>
      </c>
      <c r="DC67" s="245">
        <v>8.6446104589114192</v>
      </c>
      <c r="DD67" s="243">
        <v>37.99359658484525</v>
      </c>
      <c r="DE67" s="244">
        <v>24.915483434753209</v>
      </c>
      <c r="DF67" s="245">
        <v>7.5726842461122379</v>
      </c>
      <c r="DG67" s="245">
        <v>10.412440838404327</v>
      </c>
      <c r="DH67" s="245">
        <v>10.615280594996619</v>
      </c>
      <c r="DI67" s="245">
        <v>10.412440838404327</v>
      </c>
      <c r="DJ67" s="243">
        <v>36.071670047329278</v>
      </c>
      <c r="DK67" s="244">
        <v>42.708333333333329</v>
      </c>
      <c r="DL67" s="245">
        <v>11.979166666666668</v>
      </c>
      <c r="DM67" s="245">
        <v>10.416666666666668</v>
      </c>
      <c r="DN67" s="245">
        <v>11.979166666666668</v>
      </c>
      <c r="DO67" s="245">
        <v>5.7291666666666661</v>
      </c>
      <c r="DP67" s="243">
        <v>17.1875</v>
      </c>
      <c r="DQ67" s="244">
        <v>21.794871794871796</v>
      </c>
      <c r="DR67" s="245">
        <v>10.683760683760683</v>
      </c>
      <c r="DS67" s="245">
        <v>11.538461538461538</v>
      </c>
      <c r="DT67" s="245">
        <v>11.965811965811966</v>
      </c>
      <c r="DU67" s="245">
        <v>12.820512820512819</v>
      </c>
      <c r="DV67" s="243">
        <v>31.196581196581196</v>
      </c>
      <c r="DW67" s="244">
        <v>31.578947368421051</v>
      </c>
      <c r="DX67" s="245">
        <v>8.1177520071364846</v>
      </c>
      <c r="DY67" s="245">
        <v>11.239964317573595</v>
      </c>
      <c r="DZ67" s="245">
        <v>10.704727921498662</v>
      </c>
      <c r="EA67" s="245">
        <v>8.6529884032114186</v>
      </c>
      <c r="EB67" s="243">
        <v>29.705619982158787</v>
      </c>
      <c r="EC67" s="244">
        <v>14.644970414201183</v>
      </c>
      <c r="ED67" s="245">
        <v>6.0650887573964498</v>
      </c>
      <c r="EE67" s="245">
        <v>7.840236686390532</v>
      </c>
      <c r="EF67" s="245">
        <v>10.428994082840237</v>
      </c>
      <c r="EG67" s="245">
        <v>12.278106508875739</v>
      </c>
      <c r="EH67" s="243">
        <v>48.742603550295861</v>
      </c>
      <c r="EI67" s="244">
        <v>30.097087378640776</v>
      </c>
      <c r="EJ67" s="245">
        <v>7.1197411003236244</v>
      </c>
      <c r="EK67" s="245">
        <v>8.2524271844660202</v>
      </c>
      <c r="EL67" s="245">
        <v>9.8705501618122966</v>
      </c>
      <c r="EM67" s="245">
        <v>9.3851132686084142</v>
      </c>
      <c r="EN67" s="246">
        <v>35.275080906148865</v>
      </c>
    </row>
    <row r="68" spans="1:144" ht="12" customHeight="1" x14ac:dyDescent="0.2">
      <c r="A68" s="236" t="s">
        <v>32</v>
      </c>
      <c r="B68" s="237">
        <v>8455</v>
      </c>
      <c r="C68" s="224">
        <v>752352.30093088769</v>
      </c>
      <c r="D68" s="224">
        <v>41034</v>
      </c>
      <c r="E68" s="226">
        <v>45371</v>
      </c>
      <c r="F68" s="226">
        <v>28208.633923707555</v>
      </c>
      <c r="G68" s="238">
        <v>36027.960431507367</v>
      </c>
      <c r="H68" s="228">
        <v>87.80026424795868</v>
      </c>
      <c r="I68" s="239">
        <v>24.671791839148433</v>
      </c>
      <c r="J68" s="239">
        <v>8.2554701360141927</v>
      </c>
      <c r="K68" s="239">
        <v>9.698403311649912</v>
      </c>
      <c r="L68" s="239">
        <v>11.330573625073921</v>
      </c>
      <c r="M68" s="239">
        <v>10.774689532820817</v>
      </c>
      <c r="N68" s="239">
        <v>35.269071555292726</v>
      </c>
      <c r="O68" s="240">
        <v>4.3852753095179891</v>
      </c>
      <c r="P68" s="241">
        <v>3.1450485330877029</v>
      </c>
      <c r="Q68" s="242">
        <v>3.9488347837380102</v>
      </c>
      <c r="R68" s="243">
        <v>90.04759120065485</v>
      </c>
      <c r="S68" s="240">
        <v>5.351358622490956</v>
      </c>
      <c r="T68" s="241">
        <v>4.0022207662619476</v>
      </c>
      <c r="U68" s="242">
        <v>5.0873645406987276</v>
      </c>
      <c r="V68" s="243">
        <v>95.066783962437114</v>
      </c>
      <c r="W68" s="240">
        <v>5.6861888511809324</v>
      </c>
      <c r="X68" s="241">
        <v>3.789073272509659</v>
      </c>
      <c r="Y68" s="242">
        <v>4.8509249812013842</v>
      </c>
      <c r="Z68" s="243">
        <v>85.310655487531392</v>
      </c>
      <c r="AA68" s="240">
        <v>5.8595714019257787</v>
      </c>
      <c r="AB68" s="241">
        <v>4.4927613169321843</v>
      </c>
      <c r="AC68" s="242">
        <v>5.7692328637404007</v>
      </c>
      <c r="AD68" s="243">
        <v>98.458273959155306</v>
      </c>
      <c r="AE68" s="240">
        <v>5.9707391639390215</v>
      </c>
      <c r="AF68" s="241">
        <v>3.7940839980861072</v>
      </c>
      <c r="AG68" s="242">
        <v>4.8858773118293675</v>
      </c>
      <c r="AH68" s="243">
        <v>81.830359318628354</v>
      </c>
      <c r="AI68" s="240">
        <v>5.5512976513630674</v>
      </c>
      <c r="AJ68" s="241">
        <v>4.2449565098026314</v>
      </c>
      <c r="AK68" s="242">
        <v>5.4871296795976097</v>
      </c>
      <c r="AL68" s="243">
        <v>98.844090592949883</v>
      </c>
      <c r="AM68" s="240">
        <v>5.222237524367646</v>
      </c>
      <c r="AN68" s="241">
        <v>3.0533280686025761</v>
      </c>
      <c r="AO68" s="242">
        <v>3.8838081082657516</v>
      </c>
      <c r="AP68" s="243">
        <v>74.370575642019205</v>
      </c>
      <c r="AQ68" s="240">
        <v>5.3102269670498554</v>
      </c>
      <c r="AR68" s="241">
        <v>3.5034259986470855</v>
      </c>
      <c r="AS68" s="242">
        <v>4.4558986598426085</v>
      </c>
      <c r="AT68" s="243">
        <v>83.911642336412655</v>
      </c>
      <c r="AU68" s="240">
        <v>5.306206226997368</v>
      </c>
      <c r="AV68" s="241">
        <v>2.1962547210061292</v>
      </c>
      <c r="AW68" s="242">
        <v>2.6300306009683001</v>
      </c>
      <c r="AX68" s="243">
        <v>49.565178744599223</v>
      </c>
      <c r="AY68" s="240">
        <v>5.6922040457874861</v>
      </c>
      <c r="AZ68" s="241">
        <v>4.1566928177664035</v>
      </c>
      <c r="BA68" s="242">
        <v>5.2724770310484512</v>
      </c>
      <c r="BB68" s="243">
        <v>92.62628304672856</v>
      </c>
      <c r="BC68" s="240">
        <v>5.5512450630865819</v>
      </c>
      <c r="BD68" s="241">
        <v>3.3207741925090621</v>
      </c>
      <c r="BE68" s="242">
        <v>4.15602033034817</v>
      </c>
      <c r="BF68" s="243">
        <v>74.866453977756052</v>
      </c>
      <c r="BG68" s="240">
        <v>5.5587945549219056</v>
      </c>
      <c r="BH68" s="241">
        <v>4.4900680059020033</v>
      </c>
      <c r="BI68" s="242">
        <v>5.8115109838574766</v>
      </c>
      <c r="BJ68" s="243">
        <v>104.54624516950008</v>
      </c>
      <c r="BK68" s="240">
        <v>5.1656388980984751</v>
      </c>
      <c r="BL68" s="241">
        <v>2.5913257986185152</v>
      </c>
      <c r="BM68" s="242">
        <v>3.2726533485914788</v>
      </c>
      <c r="BN68" s="243">
        <v>63.354280334929655</v>
      </c>
      <c r="BO68" s="244">
        <v>33.612099644128115</v>
      </c>
      <c r="BP68" s="245">
        <v>7.2775800711743779</v>
      </c>
      <c r="BQ68" s="245">
        <v>6.672597864768683</v>
      </c>
      <c r="BR68" s="245">
        <v>7.8291814946619214</v>
      </c>
      <c r="BS68" s="245">
        <v>8.7544483985765122</v>
      </c>
      <c r="BT68" s="243">
        <v>35.854092526690387</v>
      </c>
      <c r="BU68" s="244">
        <v>10.453400503778337</v>
      </c>
      <c r="BV68" s="245">
        <v>10.642317380352646</v>
      </c>
      <c r="BW68" s="245">
        <v>13.97984886649874</v>
      </c>
      <c r="BX68" s="245">
        <v>17.191435768261965</v>
      </c>
      <c r="BY68" s="245">
        <v>12.153652392947103</v>
      </c>
      <c r="BZ68" s="243">
        <v>35.579345088161205</v>
      </c>
      <c r="CA68" s="244">
        <v>3.3452807646356031</v>
      </c>
      <c r="CB68" s="245">
        <v>10.63321385902031</v>
      </c>
      <c r="CC68" s="245">
        <v>18.16009557945042</v>
      </c>
      <c r="CD68" s="245">
        <v>17.801672640382318</v>
      </c>
      <c r="CE68" s="245">
        <v>17.084826762246117</v>
      </c>
      <c r="CF68" s="243">
        <v>32.974910394265237</v>
      </c>
      <c r="CG68" s="244">
        <v>0.42194092827004215</v>
      </c>
      <c r="CH68" s="245">
        <v>6.3291139240506329</v>
      </c>
      <c r="CI68" s="245">
        <v>19.40928270042194</v>
      </c>
      <c r="CJ68" s="245">
        <v>23.628691983122362</v>
      </c>
      <c r="CK68" s="245">
        <v>18.143459915611814</v>
      </c>
      <c r="CL68" s="243">
        <v>32.067510548523209</v>
      </c>
      <c r="CM68" s="244">
        <v>1.1560693641618496</v>
      </c>
      <c r="CN68" s="245">
        <v>9.2485549132947966</v>
      </c>
      <c r="CO68" s="245">
        <v>14.450867052023122</v>
      </c>
      <c r="CP68" s="245">
        <v>23.121387283236995</v>
      </c>
      <c r="CQ68" s="245">
        <v>23.121387283236995</v>
      </c>
      <c r="CR68" s="243">
        <v>28.901734104046245</v>
      </c>
      <c r="CS68" s="244">
        <v>17.977528089887642</v>
      </c>
      <c r="CT68" s="245">
        <v>6.7415730337078648</v>
      </c>
      <c r="CU68" s="245">
        <v>7.8651685393258424</v>
      </c>
      <c r="CV68" s="245">
        <v>12.279293739967898</v>
      </c>
      <c r="CW68" s="245">
        <v>11.878009630818621</v>
      </c>
      <c r="CX68" s="243">
        <v>43.258426966292134</v>
      </c>
      <c r="CY68" s="244">
        <v>25.748502994011975</v>
      </c>
      <c r="CZ68" s="245">
        <v>8.023952095808383</v>
      </c>
      <c r="DA68" s="245">
        <v>8.3832335329341312</v>
      </c>
      <c r="DB68" s="245">
        <v>11.976047904191617</v>
      </c>
      <c r="DC68" s="245">
        <v>9.5808383233532943</v>
      </c>
      <c r="DD68" s="243">
        <v>36.287425149700596</v>
      </c>
      <c r="DE68" s="244">
        <v>25.847612103536271</v>
      </c>
      <c r="DF68" s="245">
        <v>8.0204156033539924</v>
      </c>
      <c r="DG68" s="245">
        <v>10.499453153481589</v>
      </c>
      <c r="DH68" s="245">
        <v>11.228581844695588</v>
      </c>
      <c r="DI68" s="245">
        <v>10.64527889172439</v>
      </c>
      <c r="DJ68" s="243">
        <v>33.758658403208166</v>
      </c>
      <c r="DK68" s="244">
        <v>38.931297709923662</v>
      </c>
      <c r="DL68" s="245">
        <v>9.9236641221374047</v>
      </c>
      <c r="DM68" s="245">
        <v>11.83206106870229</v>
      </c>
      <c r="DN68" s="245">
        <v>12.595419847328243</v>
      </c>
      <c r="DO68" s="245">
        <v>7.6335877862595423</v>
      </c>
      <c r="DP68" s="243">
        <v>19.083969465648856</v>
      </c>
      <c r="DQ68" s="244">
        <v>30.803571428571431</v>
      </c>
      <c r="DR68" s="245">
        <v>8.4821428571428577</v>
      </c>
      <c r="DS68" s="245">
        <v>10.714285714285714</v>
      </c>
      <c r="DT68" s="245">
        <v>8.4821428571428577</v>
      </c>
      <c r="DU68" s="245">
        <v>13.392857142857142</v>
      </c>
      <c r="DV68" s="243">
        <v>28.125</v>
      </c>
      <c r="DW68" s="244">
        <v>32.436974789915965</v>
      </c>
      <c r="DX68" s="245">
        <v>11.092436974789916</v>
      </c>
      <c r="DY68" s="245">
        <v>10.840336134453782</v>
      </c>
      <c r="DZ68" s="245">
        <v>10.336134453781511</v>
      </c>
      <c r="EA68" s="245">
        <v>8.9075630252100844</v>
      </c>
      <c r="EB68" s="243">
        <v>26.386554621848742</v>
      </c>
      <c r="EC68" s="244">
        <v>12.272089761570827</v>
      </c>
      <c r="ED68" s="245">
        <v>7.4333800841514721</v>
      </c>
      <c r="EE68" s="245">
        <v>9.3969144460028051</v>
      </c>
      <c r="EF68" s="245">
        <v>12.482468443197755</v>
      </c>
      <c r="EG68" s="245">
        <v>13.253856942496494</v>
      </c>
      <c r="EH68" s="243">
        <v>45.161290322580641</v>
      </c>
      <c r="EI68" s="244">
        <v>39.430894308943088</v>
      </c>
      <c r="EJ68" s="245">
        <v>8.1300813008130071</v>
      </c>
      <c r="EK68" s="245">
        <v>8.9430894308943092</v>
      </c>
      <c r="EL68" s="245">
        <v>8.1300813008130071</v>
      </c>
      <c r="EM68" s="245">
        <v>8.9430894308943092</v>
      </c>
      <c r="EN68" s="246">
        <v>26.422764227642276</v>
      </c>
    </row>
    <row r="69" spans="1:144" ht="12" customHeight="1" x14ac:dyDescent="0.2">
      <c r="A69" s="236" t="s">
        <v>27</v>
      </c>
      <c r="B69" s="237">
        <v>14032</v>
      </c>
      <c r="C69" s="224">
        <v>1266564.5719652628</v>
      </c>
      <c r="D69" s="224">
        <v>69075</v>
      </c>
      <c r="E69" s="226">
        <v>71428</v>
      </c>
      <c r="F69" s="226">
        <v>45991.126027620492</v>
      </c>
      <c r="G69" s="238">
        <v>59215.542596075065</v>
      </c>
      <c r="H69" s="228">
        <v>85.726446031234261</v>
      </c>
      <c r="I69" s="239">
        <v>26.068985176738884</v>
      </c>
      <c r="J69" s="239">
        <v>8.5946408209806169</v>
      </c>
      <c r="K69" s="239">
        <v>10.433295324971494</v>
      </c>
      <c r="L69" s="239">
        <v>11.488027366020525</v>
      </c>
      <c r="M69" s="239">
        <v>10.625712656784494</v>
      </c>
      <c r="N69" s="239">
        <v>32.789338654503993</v>
      </c>
      <c r="O69" s="240">
        <v>4.3728823735262008</v>
      </c>
      <c r="P69" s="241">
        <v>3.0800331693372938</v>
      </c>
      <c r="Q69" s="242">
        <v>3.9023387928070918</v>
      </c>
      <c r="R69" s="243">
        <v>89.239509766651409</v>
      </c>
      <c r="S69" s="240">
        <v>5.3252411310802454</v>
      </c>
      <c r="T69" s="241">
        <v>3.4644153545250163</v>
      </c>
      <c r="U69" s="242">
        <v>4.4264802249232513</v>
      </c>
      <c r="V69" s="243">
        <v>83.122625172567979</v>
      </c>
      <c r="W69" s="240">
        <v>5.6864709150624622</v>
      </c>
      <c r="X69" s="241">
        <v>3.502704303959201</v>
      </c>
      <c r="Y69" s="242">
        <v>4.5250491652383387</v>
      </c>
      <c r="Z69" s="243">
        <v>79.575702273483515</v>
      </c>
      <c r="AA69" s="240">
        <v>5.861369730536107</v>
      </c>
      <c r="AB69" s="241">
        <v>3.659675813573148</v>
      </c>
      <c r="AC69" s="242">
        <v>4.7303168589421265</v>
      </c>
      <c r="AD69" s="243">
        <v>80.703266922379768</v>
      </c>
      <c r="AE69" s="240">
        <v>5.9619703701144093</v>
      </c>
      <c r="AF69" s="241">
        <v>4.1388580401497963</v>
      </c>
      <c r="AG69" s="242">
        <v>5.371181268962423</v>
      </c>
      <c r="AH69" s="243">
        <v>90.090707191142101</v>
      </c>
      <c r="AI69" s="240">
        <v>5.504007108059886</v>
      </c>
      <c r="AJ69" s="241">
        <v>4.053763516170938</v>
      </c>
      <c r="AK69" s="242">
        <v>5.3355846999019141</v>
      </c>
      <c r="AL69" s="243">
        <v>96.940003803568146</v>
      </c>
      <c r="AM69" s="240">
        <v>5.1939466340951448</v>
      </c>
      <c r="AN69" s="241">
        <v>2.80189110165596</v>
      </c>
      <c r="AO69" s="242">
        <v>3.6241581166927945</v>
      </c>
      <c r="AP69" s="243">
        <v>69.776575925951363</v>
      </c>
      <c r="AQ69" s="240">
        <v>5.4177814401655571</v>
      </c>
      <c r="AR69" s="241">
        <v>3.3987414927120985</v>
      </c>
      <c r="AS69" s="242">
        <v>4.3629966419761628</v>
      </c>
      <c r="AT69" s="243">
        <v>80.531056672578458</v>
      </c>
      <c r="AU69" s="240">
        <v>5.519480559576289</v>
      </c>
      <c r="AV69" s="241">
        <v>2.1838377585452839</v>
      </c>
      <c r="AW69" s="242">
        <v>2.6154938044038047</v>
      </c>
      <c r="AX69" s="243">
        <v>47.386593288492115</v>
      </c>
      <c r="AY69" s="240">
        <v>5.7364425254004905</v>
      </c>
      <c r="AZ69" s="241">
        <v>3.9261708463282092</v>
      </c>
      <c r="BA69" s="242">
        <v>5.0343823651368718</v>
      </c>
      <c r="BB69" s="243">
        <v>87.761401649978112</v>
      </c>
      <c r="BC69" s="240">
        <v>5.363417886468044</v>
      </c>
      <c r="BD69" s="241">
        <v>3.1228756759071508</v>
      </c>
      <c r="BE69" s="242">
        <v>3.884097349857798</v>
      </c>
      <c r="BF69" s="243">
        <v>72.41832413725237</v>
      </c>
      <c r="BG69" s="240">
        <v>5.5476981071826774</v>
      </c>
      <c r="BH69" s="241">
        <v>4.5305663714789155</v>
      </c>
      <c r="BI69" s="242">
        <v>5.835487962772488</v>
      </c>
      <c r="BJ69" s="243">
        <v>105.18755436993237</v>
      </c>
      <c r="BK69" s="240">
        <v>5.1101396119031683</v>
      </c>
      <c r="BL69" s="241">
        <v>3.3179238603231518</v>
      </c>
      <c r="BM69" s="242">
        <v>4.2498491226585884</v>
      </c>
      <c r="BN69" s="243">
        <v>83.165029635576175</v>
      </c>
      <c r="BO69" s="244">
        <v>35.952977032763691</v>
      </c>
      <c r="BP69" s="245">
        <v>6.9663655164906944</v>
      </c>
      <c r="BQ69" s="245">
        <v>6.4221182105148582</v>
      </c>
      <c r="BR69" s="245">
        <v>7.6847719603787956</v>
      </c>
      <c r="BS69" s="245">
        <v>8.0330902362033303</v>
      </c>
      <c r="BT69" s="243">
        <v>34.940677043648634</v>
      </c>
      <c r="BU69" s="244">
        <v>11.929824561403509</v>
      </c>
      <c r="BV69" s="245">
        <v>11.500974658869396</v>
      </c>
      <c r="BW69" s="245">
        <v>16.842105263157894</v>
      </c>
      <c r="BX69" s="245">
        <v>17.42690058479532</v>
      </c>
      <c r="BY69" s="245">
        <v>13.411306042884991</v>
      </c>
      <c r="BZ69" s="243">
        <v>28.888888888888886</v>
      </c>
      <c r="CA69" s="244">
        <v>2.6437541308658297</v>
      </c>
      <c r="CB69" s="245">
        <v>13.218770654329148</v>
      </c>
      <c r="CC69" s="245">
        <v>20.224719101123593</v>
      </c>
      <c r="CD69" s="245">
        <v>19.167217448777262</v>
      </c>
      <c r="CE69" s="245">
        <v>16.589557171183081</v>
      </c>
      <c r="CF69" s="243">
        <v>28.155981493721082</v>
      </c>
      <c r="CG69" s="244">
        <v>1.5250544662309369</v>
      </c>
      <c r="CH69" s="245">
        <v>11.546840958605664</v>
      </c>
      <c r="CI69" s="245">
        <v>18.518518518518519</v>
      </c>
      <c r="CJ69" s="245">
        <v>20.043572984749456</v>
      </c>
      <c r="CK69" s="245">
        <v>19.825708061002178</v>
      </c>
      <c r="CL69" s="243">
        <v>28.540305010893245</v>
      </c>
      <c r="CM69" s="244">
        <v>0.64935064935064934</v>
      </c>
      <c r="CN69" s="245">
        <v>5.8441558441558437</v>
      </c>
      <c r="CO69" s="245">
        <v>16.558441558441558</v>
      </c>
      <c r="CP69" s="245">
        <v>25</v>
      </c>
      <c r="CQ69" s="245">
        <v>21.753246753246753</v>
      </c>
      <c r="CR69" s="243">
        <v>30.194805194805198</v>
      </c>
      <c r="CS69" s="244">
        <v>16.802252816020026</v>
      </c>
      <c r="CT69" s="245">
        <v>6.1952440550688364</v>
      </c>
      <c r="CU69" s="245">
        <v>9.0425531914893629</v>
      </c>
      <c r="CV69" s="245">
        <v>11.702127659574469</v>
      </c>
      <c r="CW69" s="245">
        <v>13.32916145181477</v>
      </c>
      <c r="CX69" s="243">
        <v>42.928660826032541</v>
      </c>
      <c r="CY69" s="244">
        <v>30.323054331864906</v>
      </c>
      <c r="CZ69" s="245">
        <v>7.6358296622613802</v>
      </c>
      <c r="DA69" s="245">
        <v>8.1497797356828183</v>
      </c>
      <c r="DB69" s="245">
        <v>10.499265785609397</v>
      </c>
      <c r="DC69" s="245">
        <v>9.030837004405285</v>
      </c>
      <c r="DD69" s="243">
        <v>34.36123348017621</v>
      </c>
      <c r="DE69" s="244">
        <v>28.210678210678207</v>
      </c>
      <c r="DF69" s="245">
        <v>9.1871091871091863</v>
      </c>
      <c r="DG69" s="245">
        <v>11.038961038961039</v>
      </c>
      <c r="DH69" s="245">
        <v>12.746512746512748</v>
      </c>
      <c r="DI69" s="245">
        <v>10.197210197210199</v>
      </c>
      <c r="DJ69" s="243">
        <v>28.619528619528616</v>
      </c>
      <c r="DK69" s="244">
        <v>42.454728370221332</v>
      </c>
      <c r="DL69" s="245">
        <v>13.883299798792756</v>
      </c>
      <c r="DM69" s="245">
        <v>15.090543259557343</v>
      </c>
      <c r="DN69" s="245">
        <v>9.2555331991951704</v>
      </c>
      <c r="DO69" s="245">
        <v>6.2374245472837018</v>
      </c>
      <c r="DP69" s="243">
        <v>13.078470824949697</v>
      </c>
      <c r="DQ69" s="244">
        <v>28.850855745721272</v>
      </c>
      <c r="DR69" s="245">
        <v>10.757946210268948</v>
      </c>
      <c r="DS69" s="245">
        <v>11.98044009779951</v>
      </c>
      <c r="DT69" s="245">
        <v>9.2909535452322736</v>
      </c>
      <c r="DU69" s="245">
        <v>11.246943765281173</v>
      </c>
      <c r="DV69" s="243">
        <v>27.872860635696821</v>
      </c>
      <c r="DW69" s="244">
        <v>34.648288973384027</v>
      </c>
      <c r="DX69" s="245">
        <v>11.121673003802281</v>
      </c>
      <c r="DY69" s="245">
        <v>12.167300380228136</v>
      </c>
      <c r="DZ69" s="245">
        <v>10.408745247148289</v>
      </c>
      <c r="EA69" s="245">
        <v>8.4125475285171092</v>
      </c>
      <c r="EB69" s="243">
        <v>23.241444866920151</v>
      </c>
      <c r="EC69" s="244">
        <v>14.513165952235148</v>
      </c>
      <c r="ED69" s="245">
        <v>6.8585425597060627</v>
      </c>
      <c r="EE69" s="245">
        <v>9.9203919167176977</v>
      </c>
      <c r="EF69" s="245">
        <v>11.818738518064912</v>
      </c>
      <c r="EG69" s="245">
        <v>12.859767299448869</v>
      </c>
      <c r="EH69" s="243">
        <v>44.029393753827314</v>
      </c>
      <c r="EI69" s="244">
        <v>37.228714524207014</v>
      </c>
      <c r="EJ69" s="245">
        <v>9.348914858096828</v>
      </c>
      <c r="EK69" s="245">
        <v>8.3472454090150254</v>
      </c>
      <c r="EL69" s="245">
        <v>10.183639398998331</v>
      </c>
      <c r="EM69" s="245">
        <v>7.1786310517529222</v>
      </c>
      <c r="EN69" s="246">
        <v>27.712854757929883</v>
      </c>
    </row>
    <row r="70" spans="1:144" ht="12" customHeight="1" x14ac:dyDescent="0.2">
      <c r="A70" s="236" t="s">
        <v>28</v>
      </c>
      <c r="B70" s="237">
        <v>7624</v>
      </c>
      <c r="C70" s="224">
        <v>703629.91667081183</v>
      </c>
      <c r="D70" s="224">
        <v>38520</v>
      </c>
      <c r="E70" s="226">
        <v>34924</v>
      </c>
      <c r="F70" s="226">
        <v>21493.911921874169</v>
      </c>
      <c r="G70" s="238">
        <v>27707.780775866904</v>
      </c>
      <c r="H70" s="228">
        <v>71.930895056767667</v>
      </c>
      <c r="I70" s="239">
        <v>32.358342077649525</v>
      </c>
      <c r="J70" s="239">
        <v>9.6537250786988444</v>
      </c>
      <c r="K70" s="239">
        <v>9.916054564533054</v>
      </c>
      <c r="L70" s="239">
        <v>10.873557187827911</v>
      </c>
      <c r="M70" s="239">
        <v>9.3651626442812184</v>
      </c>
      <c r="N70" s="239">
        <v>27.833158447009442</v>
      </c>
      <c r="O70" s="240">
        <v>4.376216529390768</v>
      </c>
      <c r="P70" s="241">
        <v>2.4017612030528239</v>
      </c>
      <c r="Q70" s="242">
        <v>3.0503106539408646</v>
      </c>
      <c r="R70" s="243">
        <v>69.702004767243793</v>
      </c>
      <c r="S70" s="240">
        <v>5.3644352641133093</v>
      </c>
      <c r="T70" s="241">
        <v>2.9618037256160412</v>
      </c>
      <c r="U70" s="242">
        <v>3.8132033099079838</v>
      </c>
      <c r="V70" s="243">
        <v>71.083033388758238</v>
      </c>
      <c r="W70" s="240">
        <v>5.6953769764815085</v>
      </c>
      <c r="X70" s="241">
        <v>3.055319169485688</v>
      </c>
      <c r="Y70" s="242">
        <v>3.9477778607482881</v>
      </c>
      <c r="Z70" s="243">
        <v>69.315479502941471</v>
      </c>
      <c r="AA70" s="240">
        <v>5.8510175371467783</v>
      </c>
      <c r="AB70" s="241">
        <v>3.3226300980667598</v>
      </c>
      <c r="AC70" s="242">
        <v>4.2821823316784355</v>
      </c>
      <c r="AD70" s="243">
        <v>73.18696798448876</v>
      </c>
      <c r="AE70" s="240">
        <v>5.9682867908505886</v>
      </c>
      <c r="AF70" s="241">
        <v>3.396221586282659</v>
      </c>
      <c r="AG70" s="242">
        <v>4.404184888843095</v>
      </c>
      <c r="AH70" s="243">
        <v>73.793117575963848</v>
      </c>
      <c r="AI70" s="240">
        <v>5.576585480444626</v>
      </c>
      <c r="AJ70" s="241">
        <v>3.1037778072638362</v>
      </c>
      <c r="AK70" s="242">
        <v>4.0413785494522836</v>
      </c>
      <c r="AL70" s="243">
        <v>72.470485095658603</v>
      </c>
      <c r="AM70" s="240">
        <v>5.3288477288285252</v>
      </c>
      <c r="AN70" s="241">
        <v>2.5495866810557226</v>
      </c>
      <c r="AO70" s="242">
        <v>3.3130641411537152</v>
      </c>
      <c r="AP70" s="243">
        <v>62.172242663838475</v>
      </c>
      <c r="AQ70" s="240">
        <v>5.2721825512702614</v>
      </c>
      <c r="AR70" s="241">
        <v>2.6461645968830725</v>
      </c>
      <c r="AS70" s="242">
        <v>3.3996197662479841</v>
      </c>
      <c r="AT70" s="243">
        <v>64.482208899024016</v>
      </c>
      <c r="AU70" s="240">
        <v>5.6531313704714252</v>
      </c>
      <c r="AV70" s="241">
        <v>2.1851565992324482</v>
      </c>
      <c r="AW70" s="242">
        <v>2.6291588683508835</v>
      </c>
      <c r="AX70" s="243">
        <v>46.508009385453796</v>
      </c>
      <c r="AY70" s="240">
        <v>5.6716336337017657</v>
      </c>
      <c r="AZ70" s="241">
        <v>4.2629413811658416</v>
      </c>
      <c r="BA70" s="242">
        <v>5.4948798679695869</v>
      </c>
      <c r="BB70" s="243">
        <v>96.883547542953437</v>
      </c>
      <c r="BC70" s="240">
        <v>5.5414006259176878</v>
      </c>
      <c r="BD70" s="241">
        <v>2.9107381227096343</v>
      </c>
      <c r="BE70" s="242">
        <v>3.7185022442290125</v>
      </c>
      <c r="BF70" s="243">
        <v>67.104013863159508</v>
      </c>
      <c r="BG70" s="240">
        <v>5.5775058232519719</v>
      </c>
      <c r="BH70" s="241">
        <v>3.9634262566785745</v>
      </c>
      <c r="BI70" s="242">
        <v>5.1758211577652702</v>
      </c>
      <c r="BJ70" s="243">
        <v>92.798130952869215</v>
      </c>
      <c r="BK70" s="240">
        <v>5.2087800437568834</v>
      </c>
      <c r="BL70" s="241">
        <v>2.98985431848295</v>
      </c>
      <c r="BM70" s="242">
        <v>3.8063279590165289</v>
      </c>
      <c r="BN70" s="243">
        <v>73.075229267526879</v>
      </c>
      <c r="BO70" s="244">
        <v>43.009916391211355</v>
      </c>
      <c r="BP70" s="245">
        <v>7.4664592650204158</v>
      </c>
      <c r="BQ70" s="245">
        <v>6.0470542484930974</v>
      </c>
      <c r="BR70" s="245">
        <v>7.427571456348435</v>
      </c>
      <c r="BS70" s="245">
        <v>7.097025082636593</v>
      </c>
      <c r="BT70" s="243">
        <v>28.951973556290099</v>
      </c>
      <c r="BU70" s="244">
        <v>14.982078853046596</v>
      </c>
      <c r="BV70" s="245">
        <v>13.261648745519713</v>
      </c>
      <c r="BW70" s="245">
        <v>16.057347670250895</v>
      </c>
      <c r="BX70" s="245">
        <v>16.272401433691755</v>
      </c>
      <c r="BY70" s="245">
        <v>12.688172043010754</v>
      </c>
      <c r="BZ70" s="243">
        <v>26.738351254480285</v>
      </c>
      <c r="CA70" s="244">
        <v>6.3515509601181686</v>
      </c>
      <c r="CB70" s="245">
        <v>15.5096011816839</v>
      </c>
      <c r="CC70" s="245">
        <v>20.236336779911372</v>
      </c>
      <c r="CD70" s="245">
        <v>19.054652880354507</v>
      </c>
      <c r="CE70" s="245">
        <v>15.805022156573118</v>
      </c>
      <c r="CF70" s="243">
        <v>23.042836041358935</v>
      </c>
      <c r="CG70" s="244">
        <v>0.40485829959514169</v>
      </c>
      <c r="CH70" s="245">
        <v>19.4331983805668</v>
      </c>
      <c r="CI70" s="245">
        <v>17.813765182186234</v>
      </c>
      <c r="CJ70" s="245">
        <v>21.862348178137651</v>
      </c>
      <c r="CK70" s="245">
        <v>14.5748987854251</v>
      </c>
      <c r="CL70" s="243">
        <v>25.910931174089068</v>
      </c>
      <c r="CM70" s="244">
        <v>1.2345679012345678</v>
      </c>
      <c r="CN70" s="245">
        <v>8.6419753086419746</v>
      </c>
      <c r="CO70" s="245">
        <v>24.691358024691358</v>
      </c>
      <c r="CP70" s="245">
        <v>22.839506172839506</v>
      </c>
      <c r="CQ70" s="245">
        <v>17.901234567901234</v>
      </c>
      <c r="CR70" s="243">
        <v>24.691358024691358</v>
      </c>
      <c r="CS70" s="244">
        <v>24.878048780487806</v>
      </c>
      <c r="CT70" s="245">
        <v>8.7804878048780477</v>
      </c>
      <c r="CU70" s="245">
        <v>9.7560975609756095</v>
      </c>
      <c r="CV70" s="245">
        <v>13.170731707317074</v>
      </c>
      <c r="CW70" s="245">
        <v>9.8780487804878057</v>
      </c>
      <c r="CX70" s="243">
        <v>33.536585365853661</v>
      </c>
      <c r="CY70" s="244">
        <v>39.84251968503937</v>
      </c>
      <c r="CZ70" s="245">
        <v>8.8188976377952759</v>
      </c>
      <c r="DA70" s="245">
        <v>7.8740157480314963</v>
      </c>
      <c r="DB70" s="245">
        <v>8.6614173228346463</v>
      </c>
      <c r="DC70" s="245">
        <v>7.7165354330708658</v>
      </c>
      <c r="DD70" s="243">
        <v>27.086614173228345</v>
      </c>
      <c r="DE70" s="244">
        <v>35.2139341158652</v>
      </c>
      <c r="DF70" s="245">
        <v>10.336993563044301</v>
      </c>
      <c r="DG70" s="245">
        <v>9.6554335478985234</v>
      </c>
      <c r="DH70" s="245">
        <v>11.132146914047709</v>
      </c>
      <c r="DI70" s="245">
        <v>9.2389246497538817</v>
      </c>
      <c r="DJ70" s="243">
        <v>24.422567209390383</v>
      </c>
      <c r="DK70" s="244">
        <v>37.35849056603773</v>
      </c>
      <c r="DL70" s="245">
        <v>14.716981132075471</v>
      </c>
      <c r="DM70" s="245">
        <v>14.339622641509434</v>
      </c>
      <c r="DN70" s="245">
        <v>12.075471698113208</v>
      </c>
      <c r="DO70" s="245">
        <v>8.6792452830188669</v>
      </c>
      <c r="DP70" s="243">
        <v>12.830188679245284</v>
      </c>
      <c r="DQ70" s="244">
        <v>36.65338645418327</v>
      </c>
      <c r="DR70" s="245">
        <v>8.3665338645418323</v>
      </c>
      <c r="DS70" s="245">
        <v>9.5617529880478092</v>
      </c>
      <c r="DT70" s="245">
        <v>11.553784860557768</v>
      </c>
      <c r="DU70" s="245">
        <v>8.7649402390438258</v>
      </c>
      <c r="DV70" s="243">
        <v>25.099601593625497</v>
      </c>
      <c r="DW70" s="244">
        <v>36.643026004728128</v>
      </c>
      <c r="DX70" s="245">
        <v>11.268715524034672</v>
      </c>
      <c r="DY70" s="245">
        <v>9.8502758077226158</v>
      </c>
      <c r="DZ70" s="245">
        <v>9.456264775413711</v>
      </c>
      <c r="EA70" s="245">
        <v>9.7714736012608352</v>
      </c>
      <c r="EB70" s="243">
        <v>23.010244286840031</v>
      </c>
      <c r="EC70" s="244">
        <v>18.277822908204712</v>
      </c>
      <c r="ED70" s="245">
        <v>7.7173030056864338</v>
      </c>
      <c r="EE70" s="245">
        <v>11.372867587327375</v>
      </c>
      <c r="EF70" s="245">
        <v>11.860276198212835</v>
      </c>
      <c r="EG70" s="245">
        <v>10.885458976441917</v>
      </c>
      <c r="EH70" s="243">
        <v>39.886271324126724</v>
      </c>
      <c r="EI70" s="244">
        <v>39.439655172413794</v>
      </c>
      <c r="EJ70" s="245">
        <v>7.112068965517242</v>
      </c>
      <c r="EK70" s="245">
        <v>9.2672413793103452</v>
      </c>
      <c r="EL70" s="245">
        <v>8.8362068965517242</v>
      </c>
      <c r="EM70" s="245">
        <v>6.8965517241379306</v>
      </c>
      <c r="EN70" s="246">
        <v>28.448275862068968</v>
      </c>
    </row>
    <row r="71" spans="1:144" ht="12" customHeight="1" thickBot="1" x14ac:dyDescent="0.25">
      <c r="A71" s="248" t="s">
        <v>29</v>
      </c>
      <c r="B71" s="249">
        <v>640</v>
      </c>
      <c r="C71" s="250">
        <v>32936.237199360934</v>
      </c>
      <c r="D71" s="250">
        <v>1666</v>
      </c>
      <c r="E71" s="251">
        <v>1612</v>
      </c>
      <c r="F71" s="251">
        <v>1051.7123336670099</v>
      </c>
      <c r="G71" s="252">
        <v>1368.140365518894</v>
      </c>
      <c r="H71" s="228">
        <v>82.12127043930937</v>
      </c>
      <c r="I71" s="253">
        <v>32.65625</v>
      </c>
      <c r="J71" s="253">
        <v>7.5</v>
      </c>
      <c r="K71" s="253">
        <v>8.125</v>
      </c>
      <c r="L71" s="253">
        <v>9.84375</v>
      </c>
      <c r="M71" s="253">
        <v>9.53125</v>
      </c>
      <c r="N71" s="253">
        <v>32.34375</v>
      </c>
      <c r="O71" s="254">
        <v>4.3448491757416425</v>
      </c>
      <c r="P71" s="255">
        <v>2.3347322242301192</v>
      </c>
      <c r="Q71" s="256">
        <v>3.0213712729663196</v>
      </c>
      <c r="R71" s="257">
        <v>69.539152010969119</v>
      </c>
      <c r="S71" s="254">
        <v>5.34899545556239</v>
      </c>
      <c r="T71" s="255">
        <v>3.3658296400185987</v>
      </c>
      <c r="U71" s="256">
        <v>4.2854667403299951</v>
      </c>
      <c r="V71" s="257">
        <v>80.117225298323305</v>
      </c>
      <c r="W71" s="254">
        <v>5.6953922842168856</v>
      </c>
      <c r="X71" s="255">
        <v>4.2354466036128366</v>
      </c>
      <c r="Y71" s="256">
        <v>5.5959600932145648</v>
      </c>
      <c r="Z71" s="257">
        <v>98.254164313178777</v>
      </c>
      <c r="AA71" s="254">
        <v>5.8052982851070292</v>
      </c>
      <c r="AB71" s="255">
        <v>5.5747240955220727</v>
      </c>
      <c r="AC71" s="256">
        <v>7.3322727192636012</v>
      </c>
      <c r="AD71" s="257">
        <v>126.30311758611764</v>
      </c>
      <c r="AE71" s="254">
        <v>5.8834278611565471</v>
      </c>
      <c r="AF71" s="255">
        <v>2.6745723557122818</v>
      </c>
      <c r="AG71" s="256">
        <v>3.4907263584949497</v>
      </c>
      <c r="AH71" s="257">
        <v>59.331506068789508</v>
      </c>
      <c r="AI71" s="254">
        <v>4.8559808632742039</v>
      </c>
      <c r="AJ71" s="255">
        <v>3.1887828793742821</v>
      </c>
      <c r="AK71" s="256">
        <v>4.1856926350858661</v>
      </c>
      <c r="AL71" s="257">
        <v>86.196646011154414</v>
      </c>
      <c r="AM71" s="254">
        <v>4.7098248446761204</v>
      </c>
      <c r="AN71" s="255">
        <v>2.1668002081011251</v>
      </c>
      <c r="AO71" s="256">
        <v>2.8173625864067264</v>
      </c>
      <c r="AP71" s="257">
        <v>59.818839963685896</v>
      </c>
      <c r="AQ71" s="254">
        <v>5.0324756046515384</v>
      </c>
      <c r="AR71" s="255">
        <v>3.4871735907380805</v>
      </c>
      <c r="AS71" s="256">
        <v>4.4758836311197969</v>
      </c>
      <c r="AT71" s="257">
        <v>88.939996589009169</v>
      </c>
      <c r="AU71" s="254">
        <v>5.004031701743302</v>
      </c>
      <c r="AV71" s="255">
        <v>1.939218939248136</v>
      </c>
      <c r="AW71" s="256">
        <v>2.2923921117654569</v>
      </c>
      <c r="AX71" s="257">
        <v>45.810903055766701</v>
      </c>
      <c r="AY71" s="254">
        <v>5.2779801971331874</v>
      </c>
      <c r="AZ71" s="255">
        <v>4.7876134457518571</v>
      </c>
      <c r="BA71" s="256">
        <v>6.275488578387729</v>
      </c>
      <c r="BB71" s="257">
        <v>118.89943395006209</v>
      </c>
      <c r="BC71" s="254">
        <v>4.9708921325072906</v>
      </c>
      <c r="BD71" s="255">
        <v>2.5954787042388525</v>
      </c>
      <c r="BE71" s="256">
        <v>3.3752516340554095</v>
      </c>
      <c r="BF71" s="257">
        <v>67.900319380958919</v>
      </c>
      <c r="BG71" s="254">
        <v>5.3013823020813176</v>
      </c>
      <c r="BH71" s="255">
        <v>3.7071773430931056</v>
      </c>
      <c r="BI71" s="256">
        <v>4.9327700149128679</v>
      </c>
      <c r="BJ71" s="257">
        <v>93.046864644646874</v>
      </c>
      <c r="BK71" s="254">
        <v>5.2349895368553749</v>
      </c>
      <c r="BL71" s="255">
        <v>1.297326783005925</v>
      </c>
      <c r="BM71" s="256">
        <v>1.701943540540819</v>
      </c>
      <c r="BN71" s="257">
        <v>32.510925352549329</v>
      </c>
      <c r="BO71" s="258">
        <v>41.949152542372879</v>
      </c>
      <c r="BP71" s="259">
        <v>6.7796610169491522</v>
      </c>
      <c r="BQ71" s="259">
        <v>6.7796610169491522</v>
      </c>
      <c r="BR71" s="259">
        <v>6.7796610169491522</v>
      </c>
      <c r="BS71" s="259">
        <v>5.2966101694915251</v>
      </c>
      <c r="BT71" s="257">
        <v>32.415254237288138</v>
      </c>
      <c r="BU71" s="258">
        <v>9.5238095238095237</v>
      </c>
      <c r="BV71" s="259">
        <v>8.5714285714285712</v>
      </c>
      <c r="BW71" s="259">
        <v>15.238095238095239</v>
      </c>
      <c r="BX71" s="259">
        <v>22.857142857142858</v>
      </c>
      <c r="BY71" s="259">
        <v>17.142857142857142</v>
      </c>
      <c r="BZ71" s="257">
        <v>26.666666666666668</v>
      </c>
      <c r="CA71" s="258">
        <v>1.7857142857142856</v>
      </c>
      <c r="CB71" s="259">
        <v>8.9285714285714288</v>
      </c>
      <c r="CC71" s="259">
        <v>7.1428571428571423</v>
      </c>
      <c r="CD71" s="259">
        <v>12.5</v>
      </c>
      <c r="CE71" s="259">
        <v>30.357142857142854</v>
      </c>
      <c r="CF71" s="257">
        <v>39.285714285714285</v>
      </c>
      <c r="CG71" s="258">
        <v>0</v>
      </c>
      <c r="CH71" s="259">
        <v>0</v>
      </c>
      <c r="CI71" s="259">
        <v>0</v>
      </c>
      <c r="CJ71" s="259">
        <v>0</v>
      </c>
      <c r="CK71" s="259">
        <v>25</v>
      </c>
      <c r="CL71" s="257">
        <v>75</v>
      </c>
      <c r="CM71" s="258">
        <v>0</v>
      </c>
      <c r="CN71" s="259">
        <v>66.666666666666657</v>
      </c>
      <c r="CO71" s="259">
        <v>0</v>
      </c>
      <c r="CP71" s="259">
        <v>0</v>
      </c>
      <c r="CQ71" s="259">
        <v>0</v>
      </c>
      <c r="CR71" s="257">
        <v>33.333333333333329</v>
      </c>
      <c r="CS71" s="258">
        <v>34.545454545454547</v>
      </c>
      <c r="CT71" s="259">
        <v>5.4545454545454541</v>
      </c>
      <c r="CU71" s="259">
        <v>9.0909090909090917</v>
      </c>
      <c r="CV71" s="259">
        <v>9.0909090909090917</v>
      </c>
      <c r="CW71" s="259">
        <v>10.909090909090908</v>
      </c>
      <c r="CX71" s="257">
        <v>30.909090909090907</v>
      </c>
      <c r="CY71" s="258">
        <v>47.422680412371129</v>
      </c>
      <c r="CZ71" s="259">
        <v>8.2474226804123703</v>
      </c>
      <c r="DA71" s="259">
        <v>2.0618556701030926</v>
      </c>
      <c r="DB71" s="259">
        <v>10.309278350515463</v>
      </c>
      <c r="DC71" s="259">
        <v>3.0927835051546393</v>
      </c>
      <c r="DD71" s="257">
        <v>28.865979381443296</v>
      </c>
      <c r="DE71" s="258">
        <v>30.855018587360593</v>
      </c>
      <c r="DF71" s="259">
        <v>6.3197026022304827</v>
      </c>
      <c r="DG71" s="259">
        <v>7.8066914498141262</v>
      </c>
      <c r="DH71" s="259">
        <v>9.2936802973977688</v>
      </c>
      <c r="DI71" s="259">
        <v>10.037174721189592</v>
      </c>
      <c r="DJ71" s="257">
        <v>35.687732342007436</v>
      </c>
      <c r="DK71" s="258">
        <v>60</v>
      </c>
      <c r="DL71" s="259">
        <v>10</v>
      </c>
      <c r="DM71" s="259">
        <v>0</v>
      </c>
      <c r="DN71" s="259">
        <v>0</v>
      </c>
      <c r="DO71" s="259">
        <v>20</v>
      </c>
      <c r="DP71" s="257">
        <v>10</v>
      </c>
      <c r="DQ71" s="258">
        <v>35.714285714285715</v>
      </c>
      <c r="DR71" s="259">
        <v>0</v>
      </c>
      <c r="DS71" s="259">
        <v>7.1428571428571423</v>
      </c>
      <c r="DT71" s="259">
        <v>7.1428571428571423</v>
      </c>
      <c r="DU71" s="259">
        <v>0</v>
      </c>
      <c r="DV71" s="257">
        <v>50</v>
      </c>
      <c r="DW71" s="258">
        <v>29.6875</v>
      </c>
      <c r="DX71" s="259">
        <v>4.6875</v>
      </c>
      <c r="DY71" s="259">
        <v>12.5</v>
      </c>
      <c r="DZ71" s="259">
        <v>12.5</v>
      </c>
      <c r="EA71" s="259">
        <v>14.0625</v>
      </c>
      <c r="EB71" s="257">
        <v>26.5625</v>
      </c>
      <c r="EC71" s="258">
        <v>15.463917525773196</v>
      </c>
      <c r="ED71" s="259">
        <v>10.309278350515463</v>
      </c>
      <c r="EE71" s="259">
        <v>13.402061855670103</v>
      </c>
      <c r="EF71" s="259">
        <v>12.371134020618557</v>
      </c>
      <c r="EG71" s="259">
        <v>12.371134020618557</v>
      </c>
      <c r="EH71" s="257">
        <v>36.082474226804123</v>
      </c>
      <c r="EI71" s="258">
        <v>51.612903225806448</v>
      </c>
      <c r="EJ71" s="259">
        <v>19.35483870967742</v>
      </c>
      <c r="EK71" s="259">
        <v>3.225806451612903</v>
      </c>
      <c r="EL71" s="259">
        <v>6.4516129032258061</v>
      </c>
      <c r="EM71" s="259">
        <v>3.225806451612903</v>
      </c>
      <c r="EN71" s="260">
        <v>16.129032258064516</v>
      </c>
    </row>
    <row r="72" spans="1:144" s="27" customFormat="1" ht="12" thickBot="1" x14ac:dyDescent="0.25">
      <c r="A72" s="270" t="s">
        <v>109</v>
      </c>
      <c r="B72" s="271">
        <v>111274</v>
      </c>
      <c r="C72" s="272">
        <v>12331936.406285958</v>
      </c>
      <c r="D72" s="272">
        <v>685311</v>
      </c>
      <c r="E72" s="272">
        <v>657386</v>
      </c>
      <c r="F72" s="272">
        <v>432637.04231930419</v>
      </c>
      <c r="G72" s="273">
        <v>554716.78159351088</v>
      </c>
      <c r="H72" s="271">
        <v>80.943802389500661</v>
      </c>
      <c r="I72" s="272">
        <v>30.5</v>
      </c>
      <c r="J72" s="272">
        <v>8.976041123712637</v>
      </c>
      <c r="K72" s="272">
        <v>10.129050811510327</v>
      </c>
      <c r="L72" s="272">
        <v>11.108614770746087</v>
      </c>
      <c r="M72" s="272">
        <v>9.8576486870248203</v>
      </c>
      <c r="N72" s="273">
        <v>29.443535776551577</v>
      </c>
      <c r="O72" s="284">
        <v>4.3801508708215362</v>
      </c>
      <c r="P72" s="285">
        <v>2.6252757711783046</v>
      </c>
      <c r="Q72" s="285">
        <v>3.3028804272235894</v>
      </c>
      <c r="R72" s="286">
        <v>75.405631555428698</v>
      </c>
      <c r="S72" s="284">
        <v>5.3450590708009811</v>
      </c>
      <c r="T72" s="285">
        <v>3.2357775991359126</v>
      </c>
      <c r="U72" s="285">
        <v>4.1165968350391262</v>
      </c>
      <c r="V72" s="286">
        <v>77.016863247167734</v>
      </c>
      <c r="W72" s="284">
        <v>5.6854251836052843</v>
      </c>
      <c r="X72" s="285">
        <v>3.3209355938680534</v>
      </c>
      <c r="Y72" s="285">
        <v>4.2600609201835438</v>
      </c>
      <c r="Z72" s="287">
        <v>74.929504524446529</v>
      </c>
      <c r="AA72" s="284">
        <v>5.8561620470189046</v>
      </c>
      <c r="AB72" s="285">
        <v>3.6012782742286351</v>
      </c>
      <c r="AC72" s="285">
        <v>4.6242440594484231</v>
      </c>
      <c r="AD72" s="287">
        <v>78.963731234220319</v>
      </c>
      <c r="AE72" s="284">
        <v>5.9708648053957596</v>
      </c>
      <c r="AF72" s="285">
        <v>3.9795251596105441</v>
      </c>
      <c r="AG72" s="285">
        <v>5.1340199280422647</v>
      </c>
      <c r="AH72" s="287">
        <v>85.984528127361813</v>
      </c>
      <c r="AI72" s="292">
        <v>5.6222102901959961</v>
      </c>
      <c r="AJ72" s="293">
        <v>4.1071899543082475</v>
      </c>
      <c r="AK72" s="293">
        <v>5.3655693368245663</v>
      </c>
      <c r="AL72" s="287">
        <v>95.43523027199889</v>
      </c>
      <c r="AM72" s="292">
        <v>5.2785293719036375</v>
      </c>
      <c r="AN72" s="293">
        <v>2.6726007087807195</v>
      </c>
      <c r="AO72" s="293">
        <v>3.4396282772061992</v>
      </c>
      <c r="AP72" s="287">
        <v>65.162624565746029</v>
      </c>
      <c r="AQ72" s="292">
        <v>5.5271237060251037</v>
      </c>
      <c r="AR72" s="293">
        <v>3.390834661874516</v>
      </c>
      <c r="AS72" s="293">
        <v>4.3428583449536466</v>
      </c>
      <c r="AT72" s="287">
        <v>78.573568748235317</v>
      </c>
      <c r="AU72" s="292">
        <v>5.6505296223454984</v>
      </c>
      <c r="AV72" s="293">
        <v>2.285629919292651</v>
      </c>
      <c r="AW72" s="293">
        <v>2.8407343762709063</v>
      </c>
      <c r="AX72" s="287">
        <v>50.273771949393584</v>
      </c>
      <c r="AY72" s="292">
        <v>5.7813280910891152</v>
      </c>
      <c r="AZ72" s="293">
        <v>3.7699782478796893</v>
      </c>
      <c r="BA72" s="293">
        <v>4.8129962383183411</v>
      </c>
      <c r="BB72" s="287">
        <v>83.250702303796174</v>
      </c>
      <c r="BC72" s="292">
        <v>5.5242379095839755</v>
      </c>
      <c r="BD72" s="293">
        <v>2.8411864150094934</v>
      </c>
      <c r="BE72" s="293">
        <v>3.5748588492906368</v>
      </c>
      <c r="BF72" s="287">
        <v>64.712253668304726</v>
      </c>
      <c r="BG72" s="292">
        <v>5.584902571474057</v>
      </c>
      <c r="BH72" s="293">
        <v>4.5429634091978786</v>
      </c>
      <c r="BI72" s="293">
        <v>5.818086996494424</v>
      </c>
      <c r="BJ72" s="287">
        <v>104.17526397347379</v>
      </c>
      <c r="BK72" s="292">
        <v>5.3114372115959929</v>
      </c>
      <c r="BL72" s="293">
        <v>2.8211625803920271</v>
      </c>
      <c r="BM72" s="293">
        <v>3.5742516575130461</v>
      </c>
      <c r="BN72" s="287">
        <v>67.293493552172606</v>
      </c>
      <c r="BO72" s="288">
        <v>41.380562109936754</v>
      </c>
      <c r="BP72" s="289">
        <v>6.6891920193234018</v>
      </c>
      <c r="BQ72" s="290">
        <v>6.0371668318836127</v>
      </c>
      <c r="BR72" s="290">
        <v>7.591136925289363</v>
      </c>
      <c r="BS72" s="290">
        <v>7.4927231475922502</v>
      </c>
      <c r="BT72" s="291">
        <v>30.779218965974621</v>
      </c>
      <c r="BU72" s="288">
        <v>16.899517724854572</v>
      </c>
      <c r="BV72" s="289">
        <v>11.71878884303684</v>
      </c>
      <c r="BW72" s="290">
        <v>15.870332620693084</v>
      </c>
      <c r="BX72" s="290">
        <v>15.4917371849053</v>
      </c>
      <c r="BY72" s="290">
        <v>11.813255108636206</v>
      </c>
      <c r="BZ72" s="291">
        <v>28.076368517874013</v>
      </c>
      <c r="CA72" s="288">
        <v>6.2693120832655715</v>
      </c>
      <c r="CB72" s="289">
        <v>15.500455033338801</v>
      </c>
      <c r="CC72" s="290">
        <v>19.287689055130915</v>
      </c>
      <c r="CD72" s="290">
        <v>17.848430639128313</v>
      </c>
      <c r="CE72" s="290">
        <v>15.327695560253698</v>
      </c>
      <c r="CF72" s="291">
        <v>25.768417628882744</v>
      </c>
      <c r="CG72" s="288">
        <v>1.9743336623889436</v>
      </c>
      <c r="CH72" s="289">
        <v>14.16584402764067</v>
      </c>
      <c r="CI72" s="290">
        <v>19.891411648568607</v>
      </c>
      <c r="CJ72" s="290">
        <v>20.927936821322803</v>
      </c>
      <c r="CK72" s="290">
        <v>16.707798617966436</v>
      </c>
      <c r="CL72" s="291">
        <v>26.332675222112538</v>
      </c>
      <c r="CM72" s="288">
        <v>1.0664993726474279</v>
      </c>
      <c r="CN72" s="289">
        <v>11.5023462986198</v>
      </c>
      <c r="CO72" s="290">
        <v>18.099121706398996</v>
      </c>
      <c r="CP72" s="290">
        <v>23.180677540777918</v>
      </c>
      <c r="CQ72" s="290">
        <v>20.169385194479297</v>
      </c>
      <c r="CR72" s="291">
        <v>26.191969887076539</v>
      </c>
      <c r="CS72" s="294">
        <v>18.401704848161959</v>
      </c>
      <c r="CT72" s="295">
        <v>6.6968566862013859</v>
      </c>
      <c r="CU72" s="296">
        <v>9.0836441129461907</v>
      </c>
      <c r="CV72" s="296">
        <v>12.104421949920086</v>
      </c>
      <c r="CW72" s="296">
        <v>12.695791156100158</v>
      </c>
      <c r="CX72" s="297">
        <v>41.017581246670218</v>
      </c>
      <c r="CY72" s="294">
        <v>35.429847413472274</v>
      </c>
      <c r="CZ72" s="295">
        <v>7.7874953479717153</v>
      </c>
      <c r="DA72" s="296">
        <v>8.0014886490509856</v>
      </c>
      <c r="DB72" s="296">
        <v>10.37402307406029</v>
      </c>
      <c r="DC72" s="296">
        <v>8.6341644957201336</v>
      </c>
      <c r="DD72" s="297">
        <v>29.772981019724597</v>
      </c>
      <c r="DE72" s="294">
        <v>32.08540508920737</v>
      </c>
      <c r="DF72" s="295">
        <v>8.9997075168177822</v>
      </c>
      <c r="DG72" s="296">
        <v>10.524100614214699</v>
      </c>
      <c r="DH72" s="296">
        <v>11.456566247440772</v>
      </c>
      <c r="DI72" s="296">
        <v>9.8508335770693183</v>
      </c>
      <c r="DJ72" s="297">
        <v>27.183386955250072</v>
      </c>
      <c r="DK72" s="294">
        <v>48.425499231950845</v>
      </c>
      <c r="DL72" s="295">
        <v>14.4961290322581</v>
      </c>
      <c r="DM72" s="296">
        <v>11.808755760368664</v>
      </c>
      <c r="DN72" s="296">
        <v>9.5009984639016896</v>
      </c>
      <c r="DO72" s="296">
        <v>5.2035330261136714</v>
      </c>
      <c r="DP72" s="297">
        <v>10.695084485407067</v>
      </c>
      <c r="DQ72" s="294">
        <v>33.562166285278408</v>
      </c>
      <c r="DR72" s="295">
        <v>9.9160945842868031</v>
      </c>
      <c r="DS72" s="296">
        <v>12.306127637935418</v>
      </c>
      <c r="DT72" s="296">
        <v>11.823035850495804</v>
      </c>
      <c r="DU72" s="296">
        <v>10.221205186880244</v>
      </c>
      <c r="DV72" s="297">
        <v>22.171370455123316</v>
      </c>
      <c r="DW72" s="294">
        <v>38.19205857504928</v>
      </c>
      <c r="DX72" s="295">
        <v>11.478456772740072</v>
      </c>
      <c r="DY72" s="296">
        <v>11.630526612221908</v>
      </c>
      <c r="DZ72" s="296">
        <v>10.177414812728809</v>
      </c>
      <c r="EA72" s="296">
        <v>7.9414249507181083</v>
      </c>
      <c r="EB72" s="297">
        <v>20.580118276541821</v>
      </c>
      <c r="EC72" s="294">
        <v>18.517739447482821</v>
      </c>
      <c r="ED72" s="295">
        <v>7.49567522086664</v>
      </c>
      <c r="EE72" s="296">
        <v>9.8233066891039122</v>
      </c>
      <c r="EF72" s="296">
        <v>11.91277520684336</v>
      </c>
      <c r="EG72" s="296">
        <v>11.884728649558268</v>
      </c>
      <c r="EH72" s="297">
        <v>40.225774786145003</v>
      </c>
      <c r="EI72" s="294">
        <v>38.821103282350919</v>
      </c>
      <c r="EJ72" s="295">
        <v>8.6440969238700802</v>
      </c>
      <c r="EK72" s="296">
        <v>9.0909090909090917</v>
      </c>
      <c r="EL72" s="296">
        <v>9.4346107578621758</v>
      </c>
      <c r="EM72" s="296">
        <v>7.8020278398350227</v>
      </c>
      <c r="EN72" s="298">
        <v>26.207252105172714</v>
      </c>
    </row>
    <row r="73" spans="1:144"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row>
  </sheetData>
  <mergeCells count="96">
    <mergeCell ref="EI53:EN53"/>
    <mergeCell ref="DE53:DJ53"/>
    <mergeCell ref="DK53:DP53"/>
    <mergeCell ref="DQ53:DV53"/>
    <mergeCell ref="DW53:EB53"/>
    <mergeCell ref="EC53:EH53"/>
    <mergeCell ref="CA53:CF53"/>
    <mergeCell ref="CG53:CL53"/>
    <mergeCell ref="CM53:CR53"/>
    <mergeCell ref="CS53:CX53"/>
    <mergeCell ref="CY53:DD53"/>
    <mergeCell ref="BC53:BF53"/>
    <mergeCell ref="BG53:BJ53"/>
    <mergeCell ref="BK53:BN53"/>
    <mergeCell ref="BO53:BT53"/>
    <mergeCell ref="BU53:BZ53"/>
    <mergeCell ref="O52:AH52"/>
    <mergeCell ref="AI52:BN52"/>
    <mergeCell ref="BO52:CR52"/>
    <mergeCell ref="CS52:EN52"/>
    <mergeCell ref="B53:G53"/>
    <mergeCell ref="H53:N53"/>
    <mergeCell ref="O53:R53"/>
    <mergeCell ref="S53:V53"/>
    <mergeCell ref="W53:Z53"/>
    <mergeCell ref="AA53:AD53"/>
    <mergeCell ref="AE53:AH53"/>
    <mergeCell ref="AI53:AL53"/>
    <mergeCell ref="AM53:AP53"/>
    <mergeCell ref="AQ53:AT53"/>
    <mergeCell ref="AU53:AX53"/>
    <mergeCell ref="AY53:BB53"/>
    <mergeCell ref="DQ3:DV3"/>
    <mergeCell ref="DW3:EB3"/>
    <mergeCell ref="EC3:EH3"/>
    <mergeCell ref="EI3:EN3"/>
    <mergeCell ref="CM3:CR3"/>
    <mergeCell ref="CS3:CX3"/>
    <mergeCell ref="CY3:DD3"/>
    <mergeCell ref="DE3:DJ3"/>
    <mergeCell ref="DK3:DP3"/>
    <mergeCell ref="CY28:DD28"/>
    <mergeCell ref="DE28:DJ28"/>
    <mergeCell ref="DK28:DP28"/>
    <mergeCell ref="CA3:CF3"/>
    <mergeCell ref="CG3:CL3"/>
    <mergeCell ref="BC28:BF28"/>
    <mergeCell ref="BG28:BJ28"/>
    <mergeCell ref="BK28:BN28"/>
    <mergeCell ref="CM28:CR28"/>
    <mergeCell ref="CS28:CX28"/>
    <mergeCell ref="AI28:AL28"/>
    <mergeCell ref="AM28:AP28"/>
    <mergeCell ref="AQ28:AT28"/>
    <mergeCell ref="AU28:AX28"/>
    <mergeCell ref="AY28:BB28"/>
    <mergeCell ref="W28:Z28"/>
    <mergeCell ref="AA3:AD3"/>
    <mergeCell ref="AA28:AD28"/>
    <mergeCell ref="AE3:AH3"/>
    <mergeCell ref="AE28:AH28"/>
    <mergeCell ref="W3:Z3"/>
    <mergeCell ref="B28:G28"/>
    <mergeCell ref="H3:N3"/>
    <mergeCell ref="H28:N28"/>
    <mergeCell ref="S3:V3"/>
    <mergeCell ref="S28:V28"/>
    <mergeCell ref="O28:R28"/>
    <mergeCell ref="O3:R3"/>
    <mergeCell ref="B3:G3"/>
    <mergeCell ref="AI3:AL3"/>
    <mergeCell ref="AM3:AP3"/>
    <mergeCell ref="AQ3:AT3"/>
    <mergeCell ref="AU3:AX3"/>
    <mergeCell ref="AY3:BB3"/>
    <mergeCell ref="BC3:BF3"/>
    <mergeCell ref="BG3:BJ3"/>
    <mergeCell ref="BK3:BN3"/>
    <mergeCell ref="BO3:BT3"/>
    <mergeCell ref="BU3:BZ3"/>
    <mergeCell ref="DQ28:DV28"/>
    <mergeCell ref="DW28:EB28"/>
    <mergeCell ref="EC28:EH28"/>
    <mergeCell ref="EI28:EN28"/>
    <mergeCell ref="O2:AH2"/>
    <mergeCell ref="O27:AH27"/>
    <mergeCell ref="AI2:BN2"/>
    <mergeCell ref="AI27:BN27"/>
    <mergeCell ref="BO27:CR27"/>
    <mergeCell ref="CS27:EN27"/>
    <mergeCell ref="BO2:CR2"/>
    <mergeCell ref="CS2:EN2"/>
    <mergeCell ref="BO28:BT28"/>
    <mergeCell ref="BU28:BZ28"/>
    <mergeCell ref="CA28:CF28"/>
    <mergeCell ref="CG28:CL28"/>
  </mergeCells>
  <dataValidations count="1">
    <dataValidation type="list" allowBlank="1" showInputMessage="1" showErrorMessage="1" sqref="A2" xr:uid="{00000000-0002-0000-0200-000000000000}">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MAQUETTE</vt:lpstr>
      <vt:lpstr>calculs_2020_2021_2022</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COLLET Marc</dc:creator>
  <cp:lastModifiedBy>GOURGOUILLON, Nathalie (DREETS-ARA)</cp:lastModifiedBy>
  <cp:lastPrinted>2018-01-24T11:15:38Z</cp:lastPrinted>
  <dcterms:created xsi:type="dcterms:W3CDTF">2015-12-10T13:01:19Z</dcterms:created>
  <dcterms:modified xsi:type="dcterms:W3CDTF">2024-01-30T09:14:01Z</dcterms:modified>
</cp:coreProperties>
</file>