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pro206912svc001.polaris.social.gouv.fr\Partages$\Stats\SEPES\10 Travail\Santé au travail\PRST4\Diagnostic_ARA\Sinistralité\"/>
    </mc:Choice>
  </mc:AlternateContent>
  <xr:revisionPtr revIDLastSave="0" documentId="13_ncr:1_{E355E5D9-F6E7-425E-A54E-87E9838288B4}"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externalReferences>
    <externalReference r:id="rId4"/>
    <externalReference r:id="rId5"/>
    <externalReference r:id="rId6"/>
    <externalReference r:id="rId7"/>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3" i="1" l="1"/>
  <c r="L443" i="1"/>
  <c r="N444" i="1" l="1"/>
  <c r="I157" i="1"/>
  <c r="N157" i="1"/>
  <c r="I748" i="1" l="1"/>
  <c r="I749" i="1"/>
  <c r="I750" i="1"/>
  <c r="I751" i="1"/>
  <c r="I752" i="1"/>
  <c r="I747" i="1"/>
  <c r="G746" i="1"/>
  <c r="H746" i="1"/>
  <c r="I746" i="1" l="1"/>
  <c r="N748" i="1"/>
  <c r="N749" i="1"/>
  <c r="N750" i="1"/>
  <c r="N751" i="1"/>
  <c r="N752" i="1"/>
  <c r="N747" i="1"/>
  <c r="M748" i="1"/>
  <c r="M749" i="1"/>
  <c r="M750" i="1"/>
  <c r="M751" i="1"/>
  <c r="M752" i="1"/>
  <c r="M747" i="1"/>
  <c r="K748" i="1"/>
  <c r="K749" i="1"/>
  <c r="K750" i="1"/>
  <c r="K751" i="1"/>
  <c r="K752" i="1"/>
  <c r="K747" i="1"/>
  <c r="N746" i="1"/>
  <c r="J83" i="1" l="1"/>
  <c r="L83" i="1"/>
  <c r="M88" i="1" s="1"/>
  <c r="N84" i="1"/>
  <c r="N85" i="1"/>
  <c r="N86" i="1"/>
  <c r="N87" i="1"/>
  <c r="N88" i="1"/>
  <c r="N89" i="1"/>
  <c r="N83" i="1" l="1"/>
  <c r="M85" i="1"/>
  <c r="M87" i="1"/>
  <c r="M84" i="1"/>
  <c r="K86" i="1"/>
  <c r="K89" i="1"/>
  <c r="K88" i="1"/>
  <c r="K85" i="1"/>
  <c r="K87" i="1"/>
  <c r="K84" i="1"/>
  <c r="M89" i="1"/>
  <c r="M86" i="1"/>
  <c r="F185" i="1"/>
  <c r="F184" i="1"/>
  <c r="F183" i="1"/>
  <c r="M83" i="1" l="1"/>
  <c r="K83" i="1"/>
  <c r="K398" i="1"/>
  <c r="K401" i="1"/>
  <c r="K402" i="1"/>
  <c r="K403" i="1"/>
  <c r="K404" i="1"/>
  <c r="K400" i="1"/>
  <c r="K399" i="1"/>
  <c r="J398" i="1"/>
  <c r="J401" i="1"/>
  <c r="J402" i="1"/>
  <c r="J403" i="1"/>
  <c r="J404" i="1"/>
  <c r="J400" i="1"/>
  <c r="J399" i="1"/>
  <c r="I398" i="1"/>
  <c r="I401" i="1"/>
  <c r="I402" i="1"/>
  <c r="I403" i="1"/>
  <c r="I404" i="1"/>
  <c r="I400" i="1"/>
  <c r="I399" i="1"/>
  <c r="L322" i="1"/>
  <c r="M255" i="1"/>
  <c r="M241" i="1"/>
  <c r="M242" i="1"/>
  <c r="M243" i="1"/>
  <c r="M244" i="1"/>
  <c r="M240" i="1"/>
  <c r="M44" i="1"/>
  <c r="K45" i="1"/>
  <c r="K47" i="1"/>
  <c r="K48" i="1"/>
  <c r="K49" i="1"/>
  <c r="K50" i="1"/>
  <c r="K46" i="1"/>
  <c r="K44" i="1"/>
  <c r="J47" i="1"/>
  <c r="J48" i="1"/>
  <c r="J49" i="1"/>
  <c r="J50" i="1"/>
  <c r="J46" i="1"/>
  <c r="J45" i="1"/>
  <c r="J44" i="1"/>
  <c r="I44" i="1"/>
  <c r="N44" i="1"/>
  <c r="N47" i="1"/>
  <c r="N48" i="1"/>
  <c r="N49" i="1"/>
  <c r="N50" i="1"/>
  <c r="N46" i="1"/>
  <c r="N45" i="1"/>
  <c r="M47" i="1"/>
  <c r="M48" i="1"/>
  <c r="M49" i="1"/>
  <c r="M50" i="1"/>
  <c r="M46" i="1"/>
  <c r="M45" i="1"/>
  <c r="L44" i="1"/>
  <c r="L47" i="1"/>
  <c r="L48" i="1"/>
  <c r="L49" i="1"/>
  <c r="L50" i="1"/>
  <c r="L46" i="1"/>
  <c r="L45" i="1"/>
  <c r="I47" i="1"/>
  <c r="I48" i="1"/>
  <c r="I49" i="1"/>
  <c r="I50" i="1"/>
  <c r="I46" i="1"/>
  <c r="I45" i="1"/>
  <c r="J17" i="1"/>
  <c r="J18" i="1"/>
  <c r="L33" i="1" s="1"/>
  <c r="J19" i="1"/>
  <c r="J20" i="1"/>
  <c r="L35" i="1" s="1"/>
  <c r="J16" i="1"/>
  <c r="J15" i="1"/>
  <c r="L30" i="1" s="1"/>
  <c r="L17" i="1"/>
  <c r="M32" i="1" s="1"/>
  <c r="L18" i="1"/>
  <c r="M33" i="1" s="1"/>
  <c r="L19" i="1"/>
  <c r="M34" i="1" s="1"/>
  <c r="L20" i="1"/>
  <c r="G35" i="1" s="1"/>
  <c r="L16" i="1"/>
  <c r="M31" i="1" s="1"/>
  <c r="L15" i="1"/>
  <c r="H17" i="1"/>
  <c r="H18" i="1"/>
  <c r="J33" i="1" s="1"/>
  <c r="H19" i="1"/>
  <c r="J34" i="1" s="1"/>
  <c r="H20" i="1"/>
  <c r="J35" i="1" s="1"/>
  <c r="H16" i="1"/>
  <c r="J31" i="1" s="1"/>
  <c r="H15" i="1"/>
  <c r="J30" i="1" s="1"/>
  <c r="G17" i="1"/>
  <c r="G18" i="1"/>
  <c r="G19" i="1"/>
  <c r="G20" i="1"/>
  <c r="I35" i="1" s="1"/>
  <c r="G16" i="1"/>
  <c r="G15" i="1"/>
  <c r="N16" i="1" l="1"/>
  <c r="N31" i="1" s="1"/>
  <c r="N17" i="1"/>
  <c r="H32" i="1" s="1"/>
  <c r="I15" i="1"/>
  <c r="K30" i="1" s="1"/>
  <c r="L32" i="1"/>
  <c r="I16" i="1"/>
  <c r="K31" i="1" s="1"/>
  <c r="N15" i="1"/>
  <c r="N30" i="1" s="1"/>
  <c r="I17" i="1"/>
  <c r="K32" i="1" s="1"/>
  <c r="G31" i="1"/>
  <c r="M30" i="1"/>
  <c r="N19" i="1"/>
  <c r="H34" i="1" s="1"/>
  <c r="G30" i="1"/>
  <c r="H14" i="1"/>
  <c r="J29" i="1" s="1"/>
  <c r="I30" i="1"/>
  <c r="I19" i="1"/>
  <c r="K34" i="1" s="1"/>
  <c r="I18" i="1"/>
  <c r="K33" i="1" s="1"/>
  <c r="F30" i="1"/>
  <c r="I31" i="1"/>
  <c r="F31" i="1"/>
  <c r="G14" i="1"/>
  <c r="I29" i="1" s="1"/>
  <c r="F32" i="1"/>
  <c r="I34" i="1"/>
  <c r="I33" i="1"/>
  <c r="J32" i="1"/>
  <c r="L31" i="1"/>
  <c r="M35" i="1"/>
  <c r="I20" i="1"/>
  <c r="K35" i="1" s="1"/>
  <c r="F35" i="1"/>
  <c r="G34" i="1"/>
  <c r="I32" i="1"/>
  <c r="N18" i="1"/>
  <c r="F34" i="1"/>
  <c r="G33" i="1"/>
  <c r="L34" i="1"/>
  <c r="L14" i="1"/>
  <c r="M15" i="1" s="1"/>
  <c r="N20" i="1"/>
  <c r="F33" i="1"/>
  <c r="G32" i="1"/>
  <c r="J14" i="1"/>
  <c r="K16" i="1" s="1"/>
  <c r="M697" i="1"/>
  <c r="M700" i="1"/>
  <c r="M701" i="1"/>
  <c r="M702" i="1"/>
  <c r="M703" i="1"/>
  <c r="M699" i="1"/>
  <c r="M698" i="1"/>
  <c r="L697" i="1"/>
  <c r="L700" i="1"/>
  <c r="L701" i="1"/>
  <c r="L702" i="1"/>
  <c r="L703" i="1"/>
  <c r="L699" i="1"/>
  <c r="L698" i="1"/>
  <c r="J697" i="1"/>
  <c r="J700" i="1"/>
  <c r="J701" i="1"/>
  <c r="J702" i="1"/>
  <c r="J703" i="1"/>
  <c r="J699" i="1"/>
  <c r="J698" i="1"/>
  <c r="I697" i="1"/>
  <c r="I700" i="1"/>
  <c r="I701" i="1"/>
  <c r="I702" i="1"/>
  <c r="I703" i="1"/>
  <c r="I699" i="1"/>
  <c r="I698" i="1"/>
  <c r="H31" i="1" l="1"/>
  <c r="N32" i="1"/>
  <c r="N34" i="1"/>
  <c r="H30" i="1"/>
  <c r="N14" i="1"/>
  <c r="N29" i="1" s="1"/>
  <c r="K20" i="1"/>
  <c r="K15" i="1"/>
  <c r="M17" i="1"/>
  <c r="N33" i="1"/>
  <c r="H33" i="1"/>
  <c r="K19" i="1"/>
  <c r="L29" i="1"/>
  <c r="F29" i="1"/>
  <c r="M18" i="1"/>
  <c r="M19" i="1"/>
  <c r="M16" i="1"/>
  <c r="M29" i="1"/>
  <c r="G29" i="1"/>
  <c r="H35" i="1"/>
  <c r="N35" i="1"/>
  <c r="I14" i="1"/>
  <c r="K29" i="1" s="1"/>
  <c r="M20" i="1"/>
  <c r="K18" i="1"/>
  <c r="K17" i="1"/>
  <c r="H29" i="1" l="1"/>
  <c r="N698" i="1"/>
  <c r="N701" i="1"/>
  <c r="N703" i="1"/>
  <c r="N699" i="1"/>
  <c r="N700" i="1"/>
  <c r="N697" i="1"/>
  <c r="N702" i="1"/>
  <c r="K701" i="1" l="1"/>
  <c r="K698" i="1"/>
  <c r="K700" i="1"/>
  <c r="K702" i="1"/>
  <c r="K697" i="1"/>
  <c r="K703" i="1"/>
  <c r="K699" i="1"/>
  <c r="L669" i="1" l="1"/>
  <c r="M685" i="1" s="1"/>
  <c r="L670" i="1"/>
  <c r="M686" i="1" s="1"/>
  <c r="L671" i="1"/>
  <c r="M687" i="1" s="1"/>
  <c r="L672" i="1"/>
  <c r="M688" i="1" s="1"/>
  <c r="L668" i="1"/>
  <c r="M684" i="1" s="1"/>
  <c r="L667" i="1"/>
  <c r="J669" i="1"/>
  <c r="J670" i="1"/>
  <c r="J671" i="1"/>
  <c r="J672" i="1"/>
  <c r="J668" i="1"/>
  <c r="L684" i="1" s="1"/>
  <c r="J667" i="1"/>
  <c r="L683" i="1" s="1"/>
  <c r="H669" i="1"/>
  <c r="J685" i="1" s="1"/>
  <c r="H670" i="1"/>
  <c r="J686" i="1" s="1"/>
  <c r="H671" i="1"/>
  <c r="J687" i="1" s="1"/>
  <c r="H672" i="1"/>
  <c r="J688" i="1" s="1"/>
  <c r="H668" i="1"/>
  <c r="J684" i="1" s="1"/>
  <c r="H667" i="1"/>
  <c r="J683" i="1" s="1"/>
  <c r="G669" i="1"/>
  <c r="G670" i="1"/>
  <c r="G671" i="1"/>
  <c r="G672" i="1"/>
  <c r="G668" i="1"/>
  <c r="G667" i="1"/>
  <c r="I683" i="1" s="1"/>
  <c r="M619" i="1"/>
  <c r="M622" i="1"/>
  <c r="M623" i="1"/>
  <c r="M624" i="1"/>
  <c r="M625" i="1"/>
  <c r="M621" i="1"/>
  <c r="M620" i="1"/>
  <c r="L619" i="1"/>
  <c r="L622" i="1"/>
  <c r="L623" i="1"/>
  <c r="L624" i="1"/>
  <c r="L625" i="1"/>
  <c r="L621" i="1"/>
  <c r="L620" i="1"/>
  <c r="K623" i="1"/>
  <c r="J619" i="1"/>
  <c r="J622" i="1"/>
  <c r="J623" i="1"/>
  <c r="J624" i="1"/>
  <c r="J625" i="1"/>
  <c r="J621" i="1"/>
  <c r="J620" i="1"/>
  <c r="I622" i="1"/>
  <c r="I623" i="1"/>
  <c r="I624" i="1"/>
  <c r="I625" i="1"/>
  <c r="I621" i="1"/>
  <c r="I619" i="1"/>
  <c r="I620" i="1"/>
  <c r="L591" i="1"/>
  <c r="L592" i="1"/>
  <c r="L593" i="1"/>
  <c r="L594" i="1"/>
  <c r="M610" i="1" s="1"/>
  <c r="L590" i="1"/>
  <c r="M606" i="1" s="1"/>
  <c r="L589" i="1"/>
  <c r="M605" i="1" s="1"/>
  <c r="J591" i="1"/>
  <c r="L607" i="1" s="1"/>
  <c r="J592" i="1"/>
  <c r="L608" i="1" s="1"/>
  <c r="J593" i="1"/>
  <c r="J594" i="1"/>
  <c r="J590" i="1"/>
  <c r="J589" i="1"/>
  <c r="L605" i="1" s="1"/>
  <c r="N621" i="1"/>
  <c r="N622" i="1"/>
  <c r="N623" i="1"/>
  <c r="N624" i="1"/>
  <c r="N625" i="1"/>
  <c r="N619" i="1"/>
  <c r="N620" i="1"/>
  <c r="H591" i="1"/>
  <c r="J607" i="1" s="1"/>
  <c r="H592" i="1"/>
  <c r="J608" i="1" s="1"/>
  <c r="H593" i="1"/>
  <c r="J609" i="1" s="1"/>
  <c r="H594" i="1"/>
  <c r="J610" i="1" s="1"/>
  <c r="H590" i="1"/>
  <c r="J606" i="1" s="1"/>
  <c r="H589" i="1"/>
  <c r="J605" i="1" s="1"/>
  <c r="G591" i="1"/>
  <c r="G592" i="1"/>
  <c r="G593" i="1"/>
  <c r="I609" i="1" s="1"/>
  <c r="G594" i="1"/>
  <c r="G590" i="1"/>
  <c r="I606" i="1" s="1"/>
  <c r="G589" i="1"/>
  <c r="K621" i="1"/>
  <c r="K622" i="1"/>
  <c r="K624" i="1"/>
  <c r="K625" i="1"/>
  <c r="K619" i="1"/>
  <c r="K620" i="1"/>
  <c r="M543" i="1"/>
  <c r="M545" i="1"/>
  <c r="M546" i="1"/>
  <c r="M547" i="1"/>
  <c r="M548" i="1"/>
  <c r="L543" i="1"/>
  <c r="L545" i="1"/>
  <c r="L546" i="1"/>
  <c r="L547" i="1"/>
  <c r="L548" i="1"/>
  <c r="J543" i="1"/>
  <c r="J545" i="1"/>
  <c r="J546" i="1"/>
  <c r="J547" i="1"/>
  <c r="J548" i="1"/>
  <c r="I543" i="1"/>
  <c r="I545" i="1"/>
  <c r="I546" i="1"/>
  <c r="I547" i="1"/>
  <c r="I548" i="1"/>
  <c r="L516" i="1"/>
  <c r="M531" i="1" s="1"/>
  <c r="L517" i="1"/>
  <c r="L518" i="1"/>
  <c r="M533" i="1" s="1"/>
  <c r="L519" i="1"/>
  <c r="J516" i="1"/>
  <c r="L531" i="1" s="1"/>
  <c r="J517" i="1"/>
  <c r="L532" i="1" s="1"/>
  <c r="J518" i="1"/>
  <c r="L533" i="1" s="1"/>
  <c r="J519" i="1"/>
  <c r="L534" i="1" s="1"/>
  <c r="N545" i="1"/>
  <c r="N546" i="1"/>
  <c r="N543" i="1"/>
  <c r="H516" i="1"/>
  <c r="J531" i="1" s="1"/>
  <c r="H517" i="1"/>
  <c r="J532" i="1" s="1"/>
  <c r="H518" i="1"/>
  <c r="J533" i="1" s="1"/>
  <c r="H519" i="1"/>
  <c r="J534" i="1" s="1"/>
  <c r="G516" i="1"/>
  <c r="G517" i="1"/>
  <c r="G518" i="1"/>
  <c r="I533" i="1" s="1"/>
  <c r="G519" i="1"/>
  <c r="I534" i="1" s="1"/>
  <c r="K548" i="1"/>
  <c r="K543" i="1"/>
  <c r="M472" i="1"/>
  <c r="M474" i="1"/>
  <c r="M475" i="1"/>
  <c r="M476" i="1"/>
  <c r="M477" i="1"/>
  <c r="L472" i="1"/>
  <c r="L474" i="1"/>
  <c r="L475" i="1"/>
  <c r="L476" i="1"/>
  <c r="L477" i="1"/>
  <c r="J472" i="1"/>
  <c r="J474" i="1"/>
  <c r="J475" i="1"/>
  <c r="J476" i="1"/>
  <c r="J477" i="1"/>
  <c r="I474" i="1"/>
  <c r="I475" i="1"/>
  <c r="I476" i="1"/>
  <c r="I477" i="1"/>
  <c r="I472" i="1"/>
  <c r="M460" i="1"/>
  <c r="M461" i="1"/>
  <c r="M462" i="1"/>
  <c r="M463" i="1"/>
  <c r="L460" i="1"/>
  <c r="L461" i="1"/>
  <c r="L462" i="1"/>
  <c r="L463" i="1"/>
  <c r="N474" i="1"/>
  <c r="N475" i="1"/>
  <c r="N472" i="1"/>
  <c r="N593" i="1" l="1"/>
  <c r="N609" i="1" s="1"/>
  <c r="I517" i="1"/>
  <c r="K532" i="1" s="1"/>
  <c r="I672" i="1"/>
  <c r="K688" i="1" s="1"/>
  <c r="I688" i="1"/>
  <c r="L666" i="1"/>
  <c r="M682" i="1" s="1"/>
  <c r="M683" i="1"/>
  <c r="N670" i="1"/>
  <c r="N686" i="1" s="1"/>
  <c r="L686" i="1"/>
  <c r="I668" i="1"/>
  <c r="K684" i="1" s="1"/>
  <c r="I684" i="1"/>
  <c r="I671" i="1"/>
  <c r="K687" i="1" s="1"/>
  <c r="I687" i="1"/>
  <c r="N669" i="1"/>
  <c r="N685" i="1" s="1"/>
  <c r="L685" i="1"/>
  <c r="I670" i="1"/>
  <c r="K686" i="1" s="1"/>
  <c r="I686" i="1"/>
  <c r="I669" i="1"/>
  <c r="K685" i="1" s="1"/>
  <c r="I685" i="1"/>
  <c r="N672" i="1"/>
  <c r="N688" i="1" s="1"/>
  <c r="L688" i="1"/>
  <c r="N517" i="1"/>
  <c r="N532" i="1" s="1"/>
  <c r="N671" i="1"/>
  <c r="N687" i="1" s="1"/>
  <c r="L687" i="1"/>
  <c r="N590" i="1"/>
  <c r="N606" i="1" s="1"/>
  <c r="I594" i="1"/>
  <c r="K610" i="1" s="1"/>
  <c r="N519" i="1"/>
  <c r="N534" i="1" s="1"/>
  <c r="L514" i="1"/>
  <c r="M515" i="1" s="1"/>
  <c r="N667" i="1"/>
  <c r="N518" i="1"/>
  <c r="N533" i="1" s="1"/>
  <c r="N668" i="1"/>
  <c r="N684" i="1" s="1"/>
  <c r="M532" i="1"/>
  <c r="N516" i="1"/>
  <c r="N531" i="1" s="1"/>
  <c r="H514" i="1"/>
  <c r="J529" i="1" s="1"/>
  <c r="I532" i="1"/>
  <c r="H666" i="1"/>
  <c r="J682" i="1" s="1"/>
  <c r="G514" i="1"/>
  <c r="I529" i="1" s="1"/>
  <c r="G588" i="1"/>
  <c r="I604" i="1" s="1"/>
  <c r="I593" i="1"/>
  <c r="K609" i="1" s="1"/>
  <c r="G666" i="1"/>
  <c r="I682" i="1" s="1"/>
  <c r="I667" i="1"/>
  <c r="I516" i="1"/>
  <c r="K531" i="1" s="1"/>
  <c r="J514" i="1"/>
  <c r="K515" i="1" s="1"/>
  <c r="I531" i="1"/>
  <c r="I589" i="1"/>
  <c r="K605" i="1" s="1"/>
  <c r="N594" i="1"/>
  <c r="N610" i="1" s="1"/>
  <c r="M534" i="1"/>
  <c r="L606" i="1"/>
  <c r="J666" i="1"/>
  <c r="I519" i="1"/>
  <c r="K534" i="1" s="1"/>
  <c r="I592" i="1"/>
  <c r="K608" i="1" s="1"/>
  <c r="H588" i="1"/>
  <c r="J604" i="1" s="1"/>
  <c r="I610" i="1"/>
  <c r="I518" i="1"/>
  <c r="K533" i="1" s="1"/>
  <c r="I591" i="1"/>
  <c r="K607" i="1" s="1"/>
  <c r="I608" i="1"/>
  <c r="N592" i="1"/>
  <c r="N608" i="1" s="1"/>
  <c r="L610" i="1"/>
  <c r="M609" i="1"/>
  <c r="N591" i="1"/>
  <c r="N607" i="1" s="1"/>
  <c r="L609" i="1"/>
  <c r="M608" i="1"/>
  <c r="M607" i="1"/>
  <c r="L588" i="1"/>
  <c r="M604" i="1" s="1"/>
  <c r="J588" i="1"/>
  <c r="K589" i="1" s="1"/>
  <c r="N589" i="1"/>
  <c r="N548" i="1"/>
  <c r="I607" i="1"/>
  <c r="I590" i="1"/>
  <c r="K606" i="1" s="1"/>
  <c r="I605" i="1"/>
  <c r="K546" i="1"/>
  <c r="K545" i="1"/>
  <c r="N547" i="1"/>
  <c r="K547" i="1"/>
  <c r="N477" i="1"/>
  <c r="N476" i="1"/>
  <c r="M519" i="1" l="1"/>
  <c r="M517" i="1"/>
  <c r="K518" i="1"/>
  <c r="M669" i="1"/>
  <c r="M670" i="1"/>
  <c r="M667" i="1"/>
  <c r="M529" i="1"/>
  <c r="M518" i="1"/>
  <c r="M672" i="1"/>
  <c r="K519" i="1"/>
  <c r="K668" i="1"/>
  <c r="L682" i="1"/>
  <c r="I666" i="1"/>
  <c r="K682" i="1" s="1"/>
  <c r="K683" i="1"/>
  <c r="M668" i="1"/>
  <c r="N666" i="1"/>
  <c r="N682" i="1" s="1"/>
  <c r="N683" i="1"/>
  <c r="M671" i="1"/>
  <c r="M593" i="1"/>
  <c r="M594" i="1"/>
  <c r="M591" i="1"/>
  <c r="N514" i="1"/>
  <c r="N529" i="1" s="1"/>
  <c r="K667" i="1"/>
  <c r="K591" i="1"/>
  <c r="M589" i="1"/>
  <c r="M590" i="1"/>
  <c r="M516" i="1"/>
  <c r="I514" i="1"/>
  <c r="K529" i="1" s="1"/>
  <c r="K594" i="1"/>
  <c r="K516" i="1"/>
  <c r="L529" i="1"/>
  <c r="K517" i="1"/>
  <c r="K670" i="1"/>
  <c r="K671" i="1"/>
  <c r="K669" i="1"/>
  <c r="K672" i="1"/>
  <c r="N605" i="1"/>
  <c r="N588" i="1"/>
  <c r="N604" i="1" s="1"/>
  <c r="L604" i="1"/>
  <c r="K592" i="1"/>
  <c r="K593" i="1"/>
  <c r="K590" i="1"/>
  <c r="M592" i="1"/>
  <c r="I588" i="1"/>
  <c r="K604" i="1" s="1"/>
  <c r="K474" i="1"/>
  <c r="K475" i="1"/>
  <c r="K476" i="1"/>
  <c r="K477" i="1"/>
  <c r="K472" i="1"/>
  <c r="H445" i="1" l="1"/>
  <c r="J460" i="1" s="1"/>
  <c r="H446" i="1"/>
  <c r="J461" i="1" s="1"/>
  <c r="H447" i="1"/>
  <c r="J462" i="1" s="1"/>
  <c r="H448" i="1"/>
  <c r="J463" i="1" s="1"/>
  <c r="G445" i="1"/>
  <c r="I460" i="1" s="1"/>
  <c r="G446" i="1"/>
  <c r="I461" i="1" s="1"/>
  <c r="G447" i="1"/>
  <c r="I462" i="1" s="1"/>
  <c r="G448" i="1"/>
  <c r="I463" i="1" s="1"/>
  <c r="N398" i="1"/>
  <c r="N401" i="1"/>
  <c r="N402" i="1"/>
  <c r="N403" i="1"/>
  <c r="N404" i="1"/>
  <c r="N400" i="1"/>
  <c r="N399" i="1"/>
  <c r="M398" i="1"/>
  <c r="M401" i="1"/>
  <c r="M402" i="1"/>
  <c r="M403" i="1"/>
  <c r="M404" i="1"/>
  <c r="M400" i="1"/>
  <c r="M399" i="1"/>
  <c r="L398" i="1"/>
  <c r="L401" i="1"/>
  <c r="L402" i="1"/>
  <c r="L403" i="1"/>
  <c r="L404" i="1"/>
  <c r="L400" i="1"/>
  <c r="L399" i="1"/>
  <c r="F385" i="1"/>
  <c r="F384" i="1"/>
  <c r="H371" i="1"/>
  <c r="J386" i="1" s="1"/>
  <c r="H372" i="1"/>
  <c r="J387" i="1" s="1"/>
  <c r="H373" i="1"/>
  <c r="J388" i="1" s="1"/>
  <c r="H374" i="1"/>
  <c r="J389" i="1" s="1"/>
  <c r="H370" i="1"/>
  <c r="J385" i="1" s="1"/>
  <c r="H369" i="1"/>
  <c r="J384" i="1" s="1"/>
  <c r="G371" i="1"/>
  <c r="G372" i="1"/>
  <c r="I387" i="1" s="1"/>
  <c r="G373" i="1"/>
  <c r="I388" i="1" s="1"/>
  <c r="G374" i="1"/>
  <c r="I389" i="1" s="1"/>
  <c r="G370" i="1"/>
  <c r="G369" i="1"/>
  <c r="I384" i="1" s="1"/>
  <c r="M322" i="1"/>
  <c r="M324" i="1"/>
  <c r="M325" i="1"/>
  <c r="L324" i="1"/>
  <c r="L325" i="1"/>
  <c r="J324" i="1"/>
  <c r="J325" i="1"/>
  <c r="J322" i="1"/>
  <c r="I322" i="1"/>
  <c r="I324" i="1"/>
  <c r="N322" i="1"/>
  <c r="H295" i="1"/>
  <c r="J309" i="1" s="1"/>
  <c r="H297" i="1"/>
  <c r="J311" i="1" s="1"/>
  <c r="H298" i="1"/>
  <c r="J312" i="1" s="1"/>
  <c r="G295" i="1"/>
  <c r="G297" i="1"/>
  <c r="I311" i="1" s="1"/>
  <c r="G298" i="1"/>
  <c r="I312" i="1" s="1"/>
  <c r="K324" i="1"/>
  <c r="K325" i="1"/>
  <c r="J254" i="1"/>
  <c r="J257" i="1"/>
  <c r="J258" i="1"/>
  <c r="J259" i="1"/>
  <c r="J260" i="1"/>
  <c r="J256" i="1"/>
  <c r="J255" i="1"/>
  <c r="I254" i="1"/>
  <c r="I257" i="1"/>
  <c r="I258" i="1"/>
  <c r="I259" i="1"/>
  <c r="I256" i="1"/>
  <c r="I255" i="1"/>
  <c r="M254" i="1"/>
  <c r="M257" i="1"/>
  <c r="M258" i="1"/>
  <c r="M259" i="1"/>
  <c r="M260" i="1"/>
  <c r="M256" i="1"/>
  <c r="L254" i="1"/>
  <c r="L257" i="1"/>
  <c r="L258" i="1"/>
  <c r="L259" i="1"/>
  <c r="L260" i="1"/>
  <c r="L256" i="1"/>
  <c r="L255" i="1"/>
  <c r="I295" i="1" l="1"/>
  <c r="K309" i="1" s="1"/>
  <c r="I445" i="1"/>
  <c r="K460" i="1" s="1"/>
  <c r="I370" i="1"/>
  <c r="K385" i="1" s="1"/>
  <c r="I298" i="1"/>
  <c r="K312" i="1" s="1"/>
  <c r="I297" i="1"/>
  <c r="K311" i="1" s="1"/>
  <c r="H443" i="1"/>
  <c r="J458" i="1" s="1"/>
  <c r="H368" i="1"/>
  <c r="J383" i="1" s="1"/>
  <c r="I309" i="1"/>
  <c r="I371" i="1"/>
  <c r="K386" i="1" s="1"/>
  <c r="G443" i="1"/>
  <c r="I458" i="1" s="1"/>
  <c r="I448" i="1"/>
  <c r="K463" i="1" s="1"/>
  <c r="I447" i="1"/>
  <c r="K462" i="1" s="1"/>
  <c r="I446" i="1"/>
  <c r="K461" i="1" s="1"/>
  <c r="I386" i="1"/>
  <c r="G368" i="1"/>
  <c r="I383" i="1" s="1"/>
  <c r="I369" i="1"/>
  <c r="I374" i="1"/>
  <c r="K389" i="1" s="1"/>
  <c r="I373" i="1"/>
  <c r="K388" i="1" s="1"/>
  <c r="I385" i="1"/>
  <c r="I372" i="1"/>
  <c r="K387" i="1" s="1"/>
  <c r="K322" i="1"/>
  <c r="N325" i="1"/>
  <c r="N324" i="1"/>
  <c r="M239" i="1"/>
  <c r="L241" i="1"/>
  <c r="L242" i="1"/>
  <c r="L243" i="1"/>
  <c r="L244" i="1"/>
  <c r="L240" i="1"/>
  <c r="L239" i="1"/>
  <c r="H222" i="1"/>
  <c r="J238" i="1" s="1"/>
  <c r="H225" i="1"/>
  <c r="J241" i="1" s="1"/>
  <c r="H226" i="1"/>
  <c r="J242" i="1" s="1"/>
  <c r="H227" i="1"/>
  <c r="H228" i="1"/>
  <c r="J244" i="1" s="1"/>
  <c r="H224" i="1"/>
  <c r="J240" i="1" s="1"/>
  <c r="H223" i="1"/>
  <c r="G222" i="1"/>
  <c r="I238" i="1" s="1"/>
  <c r="G225" i="1"/>
  <c r="I241" i="1" s="1"/>
  <c r="G226" i="1"/>
  <c r="G227" i="1"/>
  <c r="I243" i="1" s="1"/>
  <c r="G228" i="1"/>
  <c r="G224" i="1"/>
  <c r="I240" i="1" s="1"/>
  <c r="G223" i="1"/>
  <c r="I239" i="1" s="1"/>
  <c r="N181" i="1"/>
  <c r="N184" i="1"/>
  <c r="N185" i="1"/>
  <c r="N183" i="1"/>
  <c r="N182" i="1"/>
  <c r="M181" i="1"/>
  <c r="M184" i="1"/>
  <c r="M185" i="1"/>
  <c r="M183" i="1"/>
  <c r="M182" i="1"/>
  <c r="J181" i="1"/>
  <c r="L181" i="1"/>
  <c r="L184" i="1"/>
  <c r="L185" i="1"/>
  <c r="L183" i="1"/>
  <c r="L182" i="1"/>
  <c r="I227" i="1" l="1"/>
  <c r="K243" i="1" s="1"/>
  <c r="I226" i="1"/>
  <c r="K242" i="1" s="1"/>
  <c r="I225" i="1"/>
  <c r="K241" i="1" s="1"/>
  <c r="J243" i="1"/>
  <c r="I228" i="1"/>
  <c r="K244" i="1" s="1"/>
  <c r="I223" i="1"/>
  <c r="K239" i="1" s="1"/>
  <c r="I242" i="1"/>
  <c r="I222" i="1"/>
  <c r="K238" i="1" s="1"/>
  <c r="I224" i="1"/>
  <c r="K240" i="1" s="1"/>
  <c r="J239" i="1"/>
  <c r="I443" i="1"/>
  <c r="K458" i="1" s="1"/>
  <c r="K384" i="1"/>
  <c r="I368" i="1"/>
  <c r="K383" i="1" s="1"/>
  <c r="J170" i="1"/>
  <c r="J171" i="1"/>
  <c r="J169" i="1"/>
  <c r="M170" i="1"/>
  <c r="M171" i="1"/>
  <c r="M169" i="1"/>
  <c r="M168" i="1"/>
  <c r="L168" i="1"/>
  <c r="L170" i="1"/>
  <c r="L171" i="1"/>
  <c r="L169" i="1"/>
  <c r="K181" i="1"/>
  <c r="K184" i="1"/>
  <c r="K185" i="1"/>
  <c r="K183" i="1"/>
  <c r="K182" i="1"/>
  <c r="J184" i="1"/>
  <c r="J185" i="1"/>
  <c r="J183" i="1"/>
  <c r="J182" i="1"/>
  <c r="I181" i="1"/>
  <c r="I184" i="1"/>
  <c r="I185" i="1"/>
  <c r="I183" i="1"/>
  <c r="I182" i="1"/>
  <c r="K167" i="1"/>
  <c r="K170" i="1"/>
  <c r="K171" i="1"/>
  <c r="K169" i="1"/>
  <c r="K168" i="1"/>
  <c r="J167" i="1"/>
  <c r="J168" i="1"/>
  <c r="I167" i="1"/>
  <c r="I170" i="1"/>
  <c r="I171" i="1"/>
  <c r="I169" i="1"/>
  <c r="I168" i="1"/>
  <c r="N117" i="1" l="1"/>
  <c r="N118" i="1"/>
  <c r="N119" i="1"/>
  <c r="N120" i="1"/>
  <c r="N116" i="1"/>
  <c r="N115" i="1"/>
  <c r="N114" i="1"/>
  <c r="M117" i="1"/>
  <c r="M118" i="1"/>
  <c r="M119" i="1"/>
  <c r="M120" i="1"/>
  <c r="M116" i="1"/>
  <c r="M114" i="1"/>
  <c r="L117" i="1"/>
  <c r="L118" i="1"/>
  <c r="L119" i="1"/>
  <c r="L120" i="1"/>
  <c r="L116" i="1"/>
  <c r="L115" i="1"/>
  <c r="L114" i="1"/>
  <c r="K116" i="1"/>
  <c r="K117" i="1"/>
  <c r="K118" i="1"/>
  <c r="K119" i="1"/>
  <c r="K120" i="1"/>
  <c r="K114" i="1"/>
  <c r="K115" i="1"/>
  <c r="J119" i="1"/>
  <c r="J114" i="1"/>
  <c r="I114" i="1"/>
  <c r="I116" i="1"/>
  <c r="I117" i="1"/>
  <c r="I118" i="1"/>
  <c r="I119" i="1"/>
  <c r="I120" i="1"/>
  <c r="I115" i="1"/>
  <c r="J116" i="1"/>
  <c r="J117" i="1"/>
  <c r="J118" i="1"/>
  <c r="J120" i="1"/>
  <c r="N101" i="1"/>
  <c r="N102" i="1"/>
  <c r="N103" i="1"/>
  <c r="N104" i="1"/>
  <c r="N100" i="1"/>
  <c r="N99" i="1"/>
  <c r="N98" i="1"/>
  <c r="M101" i="1"/>
  <c r="M102" i="1"/>
  <c r="M103" i="1"/>
  <c r="M104" i="1"/>
  <c r="M100" i="1"/>
  <c r="M98" i="1"/>
  <c r="K100" i="1"/>
  <c r="K101" i="1"/>
  <c r="K102" i="1"/>
  <c r="K103" i="1"/>
  <c r="K104" i="1"/>
  <c r="K98" i="1"/>
  <c r="K99" i="1"/>
  <c r="J102" i="1"/>
  <c r="J103" i="1"/>
  <c r="I98" i="1"/>
  <c r="I100" i="1"/>
  <c r="I101" i="1"/>
  <c r="I102" i="1"/>
  <c r="I103" i="1"/>
  <c r="I104" i="1"/>
  <c r="I99" i="1"/>
  <c r="J100" i="1"/>
  <c r="J101" i="1"/>
  <c r="J104" i="1"/>
  <c r="J98" i="1"/>
  <c r="L98" i="1"/>
  <c r="L101" i="1"/>
  <c r="L100" i="1"/>
  <c r="L99" i="1"/>
  <c r="F688" i="1" l="1"/>
  <c r="G688" i="1"/>
  <c r="G687" i="1"/>
  <c r="F687" i="1"/>
  <c r="G686" i="1"/>
  <c r="F686" i="1"/>
  <c r="G685" i="1"/>
  <c r="F685" i="1"/>
  <c r="F684" i="1"/>
  <c r="G684" i="1"/>
  <c r="G683" i="1"/>
  <c r="F683" i="1"/>
  <c r="G605" i="1" l="1"/>
  <c r="F605" i="1"/>
  <c r="G606" i="1"/>
  <c r="F606" i="1"/>
  <c r="G607" i="1"/>
  <c r="F607" i="1"/>
  <c r="F608" i="1"/>
  <c r="F610" i="1"/>
  <c r="F609" i="1"/>
  <c r="G610" i="1"/>
  <c r="G609" i="1"/>
  <c r="G608" i="1"/>
  <c r="F531" i="1" l="1"/>
  <c r="G463" i="1"/>
  <c r="G462" i="1"/>
  <c r="G461" i="1"/>
  <c r="G460" i="1"/>
  <c r="F463" i="1"/>
  <c r="F462" i="1"/>
  <c r="F461" i="1"/>
  <c r="F460" i="1"/>
  <c r="G389" i="1"/>
  <c r="F389" i="1"/>
  <c r="F388" i="1"/>
  <c r="G388" i="1"/>
  <c r="G387" i="1"/>
  <c r="F387" i="1"/>
  <c r="F386" i="1"/>
  <c r="G386" i="1"/>
  <c r="G385" i="1"/>
  <c r="G384" i="1"/>
  <c r="G312" i="1"/>
  <c r="G311" i="1"/>
  <c r="F312" i="1"/>
  <c r="F311" i="1"/>
  <c r="F244" i="1"/>
  <c r="F243" i="1"/>
  <c r="F242" i="1"/>
  <c r="F241" i="1"/>
  <c r="F239" i="1"/>
  <c r="F240" i="1"/>
  <c r="G244" i="1"/>
  <c r="G243" i="1"/>
  <c r="G242" i="1"/>
  <c r="G241" i="1"/>
  <c r="G240" i="1"/>
  <c r="G239" i="1"/>
  <c r="G104" i="1" l="1"/>
  <c r="F104" i="1"/>
  <c r="G171" i="1" l="1"/>
  <c r="G170" i="1"/>
  <c r="G169" i="1"/>
  <c r="G168" i="1"/>
  <c r="G103" i="1"/>
  <c r="G102" i="1"/>
  <c r="G101" i="1"/>
  <c r="G100" i="1"/>
  <c r="F103" i="1"/>
  <c r="F102" i="1"/>
  <c r="F101" i="1"/>
  <c r="F100" i="1"/>
  <c r="F99" i="1"/>
  <c r="F171" i="1"/>
  <c r="F170" i="1"/>
  <c r="F169" i="1"/>
  <c r="F168" i="1"/>
  <c r="H684" i="1" l="1"/>
  <c r="H685" i="1"/>
  <c r="H686" i="1"/>
  <c r="H687" i="1"/>
  <c r="H688" i="1"/>
  <c r="H683" i="1"/>
  <c r="G682" i="1"/>
  <c r="H606" i="1"/>
  <c r="H607" i="1"/>
  <c r="H608" i="1"/>
  <c r="H609" i="1"/>
  <c r="H610" i="1"/>
  <c r="H605" i="1"/>
  <c r="G604" i="1"/>
  <c r="H604" i="1" l="1"/>
  <c r="F604" i="1"/>
  <c r="G529" i="1"/>
  <c r="F682" i="1"/>
  <c r="N445" i="1"/>
  <c r="N446" i="1"/>
  <c r="N447" i="1"/>
  <c r="N448" i="1"/>
  <c r="M444" i="1"/>
  <c r="K444" i="1"/>
  <c r="N370" i="1"/>
  <c r="N371" i="1"/>
  <c r="N372" i="1"/>
  <c r="N373" i="1"/>
  <c r="N374" i="1"/>
  <c r="N369" i="1"/>
  <c r="L368" i="1"/>
  <c r="J368" i="1"/>
  <c r="N297" i="1"/>
  <c r="N298" i="1"/>
  <c r="L295" i="1"/>
  <c r="J295" i="1"/>
  <c r="N223" i="1"/>
  <c r="N224" i="1"/>
  <c r="N225" i="1"/>
  <c r="N226" i="1"/>
  <c r="N227" i="1"/>
  <c r="N228" i="1"/>
  <c r="L222" i="1"/>
  <c r="J222" i="1"/>
  <c r="L238" i="1" s="1"/>
  <c r="N153" i="1"/>
  <c r="N154" i="1"/>
  <c r="N155" i="1"/>
  <c r="N156" i="1"/>
  <c r="L152" i="1"/>
  <c r="M157" i="1" s="1"/>
  <c r="J152" i="1"/>
  <c r="H100" i="1"/>
  <c r="H101" i="1"/>
  <c r="H102" i="1"/>
  <c r="H103" i="1"/>
  <c r="H104" i="1"/>
  <c r="H99" i="1"/>
  <c r="K296" i="1" l="1"/>
  <c r="K299" i="1"/>
  <c r="M299" i="1"/>
  <c r="M296" i="1"/>
  <c r="L167" i="1"/>
  <c r="K157" i="1"/>
  <c r="H242" i="1"/>
  <c r="N242" i="1"/>
  <c r="H388" i="1"/>
  <c r="H462" i="1"/>
  <c r="N462" i="1"/>
  <c r="H241" i="1"/>
  <c r="N241" i="1"/>
  <c r="H461" i="1"/>
  <c r="N461" i="1"/>
  <c r="H386" i="1"/>
  <c r="K371" i="1"/>
  <c r="L383" i="1"/>
  <c r="L458" i="1"/>
  <c r="H240" i="1"/>
  <c r="N240" i="1"/>
  <c r="H460" i="1"/>
  <c r="N460" i="1"/>
  <c r="H385" i="1"/>
  <c r="M225" i="1"/>
  <c r="M238" i="1"/>
  <c r="M370" i="1"/>
  <c r="M383" i="1"/>
  <c r="H312" i="1"/>
  <c r="H311" i="1"/>
  <c r="M458" i="1"/>
  <c r="H244" i="1"/>
  <c r="N244" i="1"/>
  <c r="H387" i="1"/>
  <c r="H239" i="1"/>
  <c r="N239" i="1"/>
  <c r="H384" i="1"/>
  <c r="H243" i="1"/>
  <c r="N243" i="1"/>
  <c r="H389" i="1"/>
  <c r="H463" i="1"/>
  <c r="N463" i="1"/>
  <c r="N168" i="1"/>
  <c r="H168" i="1"/>
  <c r="M167" i="1"/>
  <c r="N171" i="1"/>
  <c r="H171" i="1"/>
  <c r="H170" i="1"/>
  <c r="N170" i="1"/>
  <c r="N169" i="1"/>
  <c r="H169" i="1"/>
  <c r="M445" i="1"/>
  <c r="K369" i="1"/>
  <c r="K373" i="1"/>
  <c r="K372" i="1"/>
  <c r="N443" i="1"/>
  <c r="M226" i="1"/>
  <c r="F98" i="1"/>
  <c r="N152" i="1"/>
  <c r="F167" i="1"/>
  <c r="M373" i="1"/>
  <c r="M446" i="1"/>
  <c r="G458" i="1"/>
  <c r="M153" i="1"/>
  <c r="G167" i="1"/>
  <c r="M227" i="1"/>
  <c r="G238" i="1"/>
  <c r="K228" i="1"/>
  <c r="F238" i="1"/>
  <c r="K297" i="1"/>
  <c r="F309" i="1"/>
  <c r="M372" i="1"/>
  <c r="N222" i="1"/>
  <c r="M371" i="1"/>
  <c r="K226" i="1"/>
  <c r="G309" i="1"/>
  <c r="N368" i="1"/>
  <c r="F383" i="1"/>
  <c r="K227" i="1"/>
  <c r="K446" i="1"/>
  <c r="F458" i="1"/>
  <c r="H98" i="1"/>
  <c r="G98" i="1"/>
  <c r="M224" i="1"/>
  <c r="M374" i="1"/>
  <c r="G383" i="1"/>
  <c r="K225" i="1"/>
  <c r="N295" i="1"/>
  <c r="K224" i="1"/>
  <c r="K374" i="1"/>
  <c r="K445" i="1"/>
  <c r="K153" i="1"/>
  <c r="M155" i="1"/>
  <c r="K156" i="1"/>
  <c r="M154" i="1"/>
  <c r="K155" i="1"/>
  <c r="M223" i="1"/>
  <c r="M298" i="1"/>
  <c r="K370" i="1"/>
  <c r="K448" i="1"/>
  <c r="M448" i="1"/>
  <c r="M156" i="1"/>
  <c r="K154" i="1"/>
  <c r="K223" i="1"/>
  <c r="M228" i="1"/>
  <c r="K298" i="1"/>
  <c r="M297" i="1"/>
  <c r="M369" i="1"/>
  <c r="K447" i="1"/>
  <c r="M447" i="1"/>
  <c r="H238" i="1" l="1"/>
  <c r="N238" i="1"/>
  <c r="H458" i="1"/>
  <c r="N458" i="1"/>
  <c r="H309" i="1"/>
  <c r="H167" i="1"/>
  <c r="N167" i="1"/>
  <c r="K256" i="1" l="1"/>
  <c r="K257" i="1"/>
  <c r="K258" i="1"/>
  <c r="K259" i="1"/>
  <c r="K260" i="1"/>
  <c r="K254" i="1"/>
  <c r="K255" i="1"/>
  <c r="N256" i="1" l="1"/>
  <c r="N257" i="1"/>
  <c r="N258" i="1"/>
  <c r="N259" i="1"/>
  <c r="N254" i="1" l="1"/>
  <c r="N260" i="1"/>
  <c r="N255" i="1"/>
  <c r="H682" i="1"/>
</calcChain>
</file>

<file path=xl/sharedStrings.xml><?xml version="1.0" encoding="utf-8"?>
<sst xmlns="http://schemas.openxmlformats.org/spreadsheetml/2006/main" count="824" uniqueCount="97">
  <si>
    <t>Les accidents du travail (AT)</t>
  </si>
  <si>
    <t>Caractéristiques des victimes d'accident du travail dans les 10 secteurs les plus accidentogènes en région ARA</t>
  </si>
  <si>
    <t>HÉBERGEMENT MÉDICO-SOCIAL ET SOCIAL</t>
  </si>
  <si>
    <t>Hébergement médico-social et social</t>
  </si>
  <si>
    <t>Nombre d'AT en 1ère indemnisation</t>
  </si>
  <si>
    <t>par sexe</t>
  </si>
  <si>
    <t>par tranche d'âge</t>
  </si>
  <si>
    <t>femmes</t>
  </si>
  <si>
    <t>hommes</t>
  </si>
  <si>
    <t>Total</t>
  </si>
  <si>
    <t>- 20 ans</t>
  </si>
  <si>
    <t>20 à 29 ans</t>
  </si>
  <si>
    <t>30 à 39 ans</t>
  </si>
  <si>
    <t>40 à 49 ans</t>
  </si>
  <si>
    <t>50 à 59 ans</t>
  </si>
  <si>
    <t>60 ans et plus</t>
  </si>
  <si>
    <t>Champ : établissements et salariés du régime général,  Auvergne-Rhône-Alpes</t>
  </si>
  <si>
    <r>
      <t xml:space="preserve">Indice de fréquence
</t>
    </r>
    <r>
      <rPr>
        <b/>
        <i/>
        <sz val="9"/>
        <rFont val="Arial"/>
        <family val="2"/>
      </rPr>
      <t>(Nombre d'AT pour 1 000 salariés)</t>
    </r>
  </si>
  <si>
    <r>
      <t xml:space="preserve">Taux de fréquence
</t>
    </r>
    <r>
      <rPr>
        <b/>
        <i/>
        <sz val="9"/>
        <rFont val="Arial"/>
        <family val="2"/>
      </rPr>
      <t>(Nombre d'AT pour 1 million d'heures salariées)</t>
    </r>
  </si>
  <si>
    <r>
      <t xml:space="preserve">Taux de gravité
</t>
    </r>
    <r>
      <rPr>
        <b/>
        <i/>
        <sz val="9"/>
        <rFont val="Arial"/>
        <family val="2"/>
      </rPr>
      <t>(Nombre de journées d'incapacité temporaire pour 1 000 heures salariées)</t>
    </r>
  </si>
  <si>
    <r>
      <t xml:space="preserve">Indice de gravité
</t>
    </r>
    <r>
      <rPr>
        <b/>
        <i/>
        <sz val="9"/>
        <rFont val="Arial"/>
        <family val="2"/>
      </rPr>
      <t>(Somme des taux d'incapacité permanente pour 1 million d'heures salariées)</t>
    </r>
  </si>
  <si>
    <t>Travaux de construction spécialisés</t>
  </si>
  <si>
    <t>(s) = secret statistique car effectif &lt; 5</t>
  </si>
  <si>
    <t>ACTIVITÉS LIÉES A L'EMPLOI</t>
  </si>
  <si>
    <t>Activités liées à l'emploi</t>
  </si>
  <si>
    <t>ACTION SOCIALE SANS HÉBERGEMENT</t>
  </si>
  <si>
    <t>Action sociale sans hébergement</t>
  </si>
  <si>
    <t>ENTREPOSAGE ET SERVICES AUXILIAIRES DES TRANSPORTS</t>
  </si>
  <si>
    <t>Entreposage et services auxiliaires des transports</t>
  </si>
  <si>
    <t>TRANSPORTS TERRESTRES ET TRANSPORT PAR CONDUITES</t>
  </si>
  <si>
    <t>Transports terrestres et transport par conduites</t>
  </si>
  <si>
    <t>COLLECTE, TRAITEMENT ET ÉLIMINATION DES DÉCHETS; RÉCUPÉRATION</t>
  </si>
  <si>
    <t>Collecte, traitement et élimination des déchets ; récupération</t>
  </si>
  <si>
    <t>SERVICES RELATIFS AUX BATIMENTS ET AMÉNAGEMENT PAYSAGER</t>
  </si>
  <si>
    <t>Services relatifs aux bâtiments et aménagement paysager</t>
  </si>
  <si>
    <t>RESTAURATION</t>
  </si>
  <si>
    <t>Restauration</t>
  </si>
  <si>
    <t>TOUS SECTEURS</t>
  </si>
  <si>
    <t>Tous secteurs</t>
  </si>
  <si>
    <t>Répartition des effectifs du secteur (2019)</t>
  </si>
  <si>
    <t>Sources : INSEE Recensement de la population 2016 2019, Carsat Rhône-Alpes – Carsat Auvergne - SNTRP – Extraction régionale / traitement : Direccte Auvergne-Rhône-Alpes / SESE, 2016 2019</t>
  </si>
  <si>
    <t>Sources : INSEE Recensement de la population 2016 2019, Carsat Rhône-Alpes – Carsat Auvergne - SNTRP – Extraction régionale / traitement : Direccte Auvergne-Rhône-Alpes / SESE, 2016 et 2019, CNAM DARES 2016 et 2019</t>
  </si>
  <si>
    <t>Sources : Carsat Rhône-Alpes – Carsat Auvergne - SNTRP – Extraction régionale / traitement : Direccte Auvergne-Rhône-Alpes / SESE, 2016 et 2019, CNAM DARES 2016 et 2019</t>
  </si>
  <si>
    <t>INDUSTRIES ALIMENTAIRES</t>
  </si>
  <si>
    <t>Industries alimentaires</t>
  </si>
  <si>
    <r>
      <t>Lecture : Dans le secteur de l'hébergement médico-social et social</t>
    </r>
    <r>
      <rPr>
        <sz val="8"/>
        <color theme="4" tint="-0.249977111117893"/>
        <rFont val="Arial"/>
        <family val="2"/>
      </rPr>
      <t xml:space="preserve">, </t>
    </r>
    <r>
      <rPr>
        <b/>
        <sz val="8"/>
        <color theme="4" tint="-0.249977111117893"/>
        <rFont val="Arial"/>
        <family val="2"/>
      </rPr>
      <t>80</t>
    </r>
    <r>
      <rPr>
        <sz val="8"/>
        <color theme="4" tint="-0.249977111117893"/>
        <rFont val="Arial"/>
        <family val="2"/>
      </rPr>
      <t>%</t>
    </r>
    <r>
      <rPr>
        <sz val="8"/>
        <rFont val="Arial"/>
        <family val="2"/>
      </rPr>
      <t xml:space="preserve"> des salariés sont des femmes, 25% ont entre 40 et 49 ans. Les AT concernent 23% de cette classe d'âge.</t>
    </r>
  </si>
  <si>
    <t>Champ : Salariés du régime général,  Auvergne-Rhône-Alpes</t>
  </si>
  <si>
    <r>
      <t>Lecture : Dans le secteur de l'hébergement médico-social et social , l'indice de fréquence des femmes de 20 à 29 ans est de 142,8</t>
    </r>
    <r>
      <rPr>
        <b/>
        <sz val="8"/>
        <color rgb="FFFF0000"/>
        <rFont val="Arial"/>
        <family val="2"/>
      </rPr>
      <t xml:space="preserve"> </t>
    </r>
    <r>
      <rPr>
        <sz val="8"/>
        <rFont val="Arial"/>
        <family val="2"/>
      </rPr>
      <t>en 2016 et de 121,8 en 2019.</t>
    </r>
  </si>
  <si>
    <t>Sources : Carsat Rhône-Alpes – Carsat Auvergne - SNTRP – Extraction régionale / traitement : Dreets Auvergne-Rhône-Alpes / SESE, 2016 et 2019, CNAM DARES 2016 et 2019</t>
  </si>
  <si>
    <r>
      <t>Lecture : Dans le secteur de l'hébergement médico-social et social, le taux de gravité des hommes de moins de 20 ans est de 1,7</t>
    </r>
    <r>
      <rPr>
        <b/>
        <sz val="8"/>
        <rFont val="Arial"/>
        <family val="2"/>
      </rPr>
      <t xml:space="preserve"> </t>
    </r>
    <r>
      <rPr>
        <sz val="8"/>
        <rFont val="Arial"/>
        <family val="2"/>
      </rPr>
      <t xml:space="preserve">en 2016 et de </t>
    </r>
    <r>
      <rPr>
        <b/>
        <sz val="8"/>
        <rFont val="Arial"/>
        <family val="2"/>
      </rPr>
      <t xml:space="preserve">0,3 </t>
    </r>
    <r>
      <rPr>
        <sz val="8"/>
        <rFont val="Arial"/>
        <family val="2"/>
      </rPr>
      <t>en 2019.</t>
    </r>
  </si>
  <si>
    <t xml:space="preserve">Lecture : Dans le secteur des travaux de construction spécialisés, 87% des salariés sont des hommes, 27% d'entre eux ont entre 30 et 39 ans. </t>
  </si>
  <si>
    <t>Lecture : Dans le secteur des travaux de construction spécialisés, l'indice de fréquence des hommes de 30 à 39 ans est de 93,8 en 2016 et de 91,3 en 2019.</t>
  </si>
  <si>
    <t>Lecture : Dans le secteur des travaux de construction spécialisés, le taux de gravité des hommes de 50 à 59 ans est de 4,4 en 2016 et de 4,6 en 2019.</t>
  </si>
  <si>
    <t>Lecture : Dans le secteur des activités liés à l'emploi, 65% des salariés sont des hommes, dont 35% sont âgés de 20 à 29 ans.</t>
  </si>
  <si>
    <t>Lecture : Dans le secteur des activités liés à l'emploi, l'indice de fréquence des accidents du travail est de 133,6 chez les hommes de 30 à 39 ans en 2016 et de 157,9 en 2019.</t>
  </si>
  <si>
    <t>Lecture : Dans le secteur des activités liés à l'emploi, le taux de gravité est de 4,5 chez les hommes de 50 à 59 ans en 2016 et de 5,1 en 2019.</t>
  </si>
  <si>
    <t>Lecture : Dans le secteur de la collecte, traitement et élimination des déchets; récupération, 78% des salariés sont des hommes, 28% d'entre eux ont entre 40 et 49 ans.</t>
  </si>
  <si>
    <t>Lecture : Dans le secteur de la collecte, traitement et élimination des déchets; récupération, l'indice de fréquence des accidents du travail chez les hommes de 40 à 49 ans est de 75,4 en 2016 et de 79,2 en 2019.</t>
  </si>
  <si>
    <t>Lecture : Dans le secteur de la collecte, traitement et élimination des déchets; récupération, le taux de gravité chez les hommes de 50 à 59 ans est de 3,7 en 2016 et de 3,6 en 2019.</t>
  </si>
  <si>
    <t>Lecture : Dans le secteur de l'action sociale sans hébergement, 85% des salariés sont des femmes, 30% d'entre elles ont entre 50 et 59 ans.</t>
  </si>
  <si>
    <t>Lecture : Dans le secteur de l'action sociale sans hébergement, l'indice de fréquence des accidents du travail des femmes de 30 à 39 ans est de 31,3 en 2016 et de 37,8 en 2019</t>
  </si>
  <si>
    <t>Lecture : Dans le secteur de l'action sociale sans hébergement, le taux de gravité des femmes de 40 à 49 ans est de 3,9 en 2016 et de 4,2 en 2019.</t>
  </si>
  <si>
    <t>Lecture : Dans le secteur des transports terrestres et transport par conduites, 80% des salariés sont des hommes, 29% des hommes de 40 à 49 ans.</t>
  </si>
  <si>
    <r>
      <t xml:space="preserve">Lecture : Dans le secteur des transports terrestres et transport par conduites, les hommes de 40 à 49 ans ont un indice de fréquence de 70,0 en 2016 et de </t>
    </r>
    <r>
      <rPr>
        <b/>
        <sz val="8"/>
        <rFont val="Arial"/>
        <family val="2"/>
      </rPr>
      <t>69,8</t>
    </r>
    <r>
      <rPr>
        <sz val="8"/>
        <rFont val="Arial"/>
        <family val="2"/>
      </rPr>
      <t xml:space="preserve"> en 2019.</t>
    </r>
  </si>
  <si>
    <r>
      <t>Lecture : Dans le secteur des transports terrestres et transport par conduites, le taux de gravité des hommes de 40 à 49 ans était de 4,0 en 2016 et de 3,5</t>
    </r>
    <r>
      <rPr>
        <b/>
        <sz val="8"/>
        <color rgb="FFFF0000"/>
        <rFont val="Arial"/>
        <family val="2"/>
      </rPr>
      <t xml:space="preserve"> </t>
    </r>
    <r>
      <rPr>
        <sz val="8"/>
        <rFont val="Arial"/>
        <family val="2"/>
      </rPr>
      <t>en 2019.</t>
    </r>
  </si>
  <si>
    <t>Lecture : Dans le secteur de l'entreposage et services auxiliaires des transports, 68% des salariés sont des hommes, 29% d'entre eux ont entre 40 et 49 ans.</t>
  </si>
  <si>
    <t>Lecture : Dans le secteur de l'entreposage et services auxiliaires des transports, l'indice de fréquence des accidents du travail chez les hommes de 40 à 49 ans est de 56,3 en 2016 et de 66 en 2019.</t>
  </si>
  <si>
    <t>Lecture : Dans le secteur de l'entreposage et services auxiliaires des transports, le taux de gravité des accidents du travail chez les hommes de moins de 20 ans est de 3,6 en 2016 et de 1,1 en 2019.</t>
  </si>
  <si>
    <t>Lecture : Dans le secteur relatifs aux bâtiments et aménagement paysager, 54% des salariés sont des femmes, 21% d'entre elles ont entre 50 et 59 ans.</t>
  </si>
  <si>
    <r>
      <t>Lecture : Dans le secteur relatifs aux bâtiments et aménagement paysager, la fréquence des accidents du travail des femmes de 50 à 59 ans est de 57,8 en 2016 et de 65,1</t>
    </r>
    <r>
      <rPr>
        <b/>
        <sz val="8"/>
        <color rgb="FFFF0000"/>
        <rFont val="Arial"/>
        <family val="2"/>
      </rPr>
      <t xml:space="preserve"> </t>
    </r>
    <r>
      <rPr>
        <sz val="8"/>
        <rFont val="Arial"/>
        <family val="2"/>
      </rPr>
      <t>en 2019.</t>
    </r>
  </si>
  <si>
    <r>
      <t>Lecture : Dans le secteur relatifs aux bâtiments et aménagement paysager, le taux de gravité des femmes de 50 à 59 ans est de 5,5</t>
    </r>
    <r>
      <rPr>
        <sz val="8"/>
        <rFont val="Arial"/>
        <family val="2"/>
      </rPr>
      <t xml:space="preserve"> en 2016 et de 3,8 en 2019.</t>
    </r>
  </si>
  <si>
    <t xml:space="preserve">Lecture : Dans le secteur de la restauration, 51% des salariés sont des hommes, 33% d'entre eux ont entre 20 et 29 ans. </t>
  </si>
  <si>
    <r>
      <t xml:space="preserve">Lecture : Dans le secteur de la restauration, l'indice de fréquence des accidents du travail des hommes de 20 à 29 ans est de </t>
    </r>
    <r>
      <rPr>
        <b/>
        <sz val="8"/>
        <rFont val="Arial"/>
        <family val="2"/>
      </rPr>
      <t>80,1</t>
    </r>
    <r>
      <rPr>
        <sz val="8"/>
        <rFont val="Arial"/>
        <family val="2"/>
      </rPr>
      <t xml:space="preserve"> en 2016 et de 64,0 en 2019.</t>
    </r>
  </si>
  <si>
    <r>
      <t>Lecture : Dans le secteur de la restauration, le taux de gravité des hommes entre 20 et 29 ans est de 1,2</t>
    </r>
    <r>
      <rPr>
        <b/>
        <sz val="8"/>
        <color rgb="FFFF0000"/>
        <rFont val="Arial"/>
        <family val="2"/>
      </rPr>
      <t xml:space="preserve"> </t>
    </r>
    <r>
      <rPr>
        <sz val="8"/>
        <rFont val="Arial"/>
        <family val="2"/>
      </rPr>
      <t>en 2016 et 1,0 en 2019.</t>
    </r>
  </si>
  <si>
    <t>Lecture : Tous secteurs confondus, 47% des salariés sont des femmes, et 25% d'entre elles ont entre 40 et 49 ans.</t>
  </si>
  <si>
    <r>
      <t>Lecture :  Tous secteurs confondus, l'indice de fréquence des femmes de 20 à 29 ans est de 60,5</t>
    </r>
    <r>
      <rPr>
        <b/>
        <sz val="8"/>
        <color rgb="FFFF0000"/>
        <rFont val="Arial"/>
        <family val="2"/>
      </rPr>
      <t xml:space="preserve"> </t>
    </r>
    <r>
      <rPr>
        <sz val="8"/>
        <rFont val="Arial"/>
        <family val="2"/>
      </rPr>
      <t>en 2016 et de 59,1 en 2019.</t>
    </r>
  </si>
  <si>
    <r>
      <t>Lecture : Tous secteurs confondus, le taux de gravité des hommes de moins de 20 ans est de 1,1</t>
    </r>
    <r>
      <rPr>
        <b/>
        <sz val="8"/>
        <color rgb="FFFF0000"/>
        <rFont val="Arial"/>
        <family val="2"/>
      </rPr>
      <t xml:space="preserve"> </t>
    </r>
    <r>
      <rPr>
        <sz val="8"/>
        <rFont val="Arial"/>
        <family val="2"/>
      </rPr>
      <t>en 2016 et de 1,2 en 2019.</t>
    </r>
  </si>
  <si>
    <t xml:space="preserve">Le nombre d'accidents du travail (AT) dans le secteur de l'hébergement médico-social et social en région est plutôt stable en 2019 par rapport à 2016. L'évolution est variable selon les classes d'âge, en recul parmi les moins de 30 ans et les 40-49 ans mais en progression dans les autres classes d'âge.
En 2019, les salariés de 40 ans et plus sont plus nombreux (61% des hommes et 57% des femmes). Leur poids dans les AT un peu inférieur (56% des hommes et 49% des femmes).
La fréquence des AT, qui rapporte à 1 million d'heures travaillées le volume d'accidents du travail, concerne surtout les salariés de moins de 30 ans (60 ou plus). Elle diminue en fonction de l'avancée en âge et atteint donc son niveau le plus bas parmi les salariés de 60 ans et plus (37,7). Par rapport à 2016, le taux de fréquence, qui demeure le plus élevé tous secteurs confondus, diminue un peu. Cela touche les salariés de 20 à 49 ans. Pour les moins de 20 ans et au-delà de 50 ans, la fréquence augmente. 
La fréquence des journées d'arrêt (taux de gravité) augmente avec l'avancée en âge jusque dans la classe d'âge de 40-49 ans (4,4 pour 1000 heures salariées) puis diminue à nouveau ensuite. Cela peut être mis en lien avec le retrait de l'emploi pour raison de santé d'un certain nombre de personnes de cette classe d'âge. Par rapport à 2016, le taux de gravité des AT augmente à partir de 30 ans. 
Les séquelles physiques permanentes occasionnées par les AT augmentent également avec l'avancée en âge et atteignent leur apogée parmi les salariés de 60 ans et plus (51,6 de taux d'inacapacité permanente cumulée pour 1 million d'heures travaillées). </t>
  </si>
  <si>
    <t xml:space="preserve">Le nombre d'accidents du travail (AT) en région a augmenté en 2019 par rapport à 2016 dans la plupart des classes d'âge. Seule la classe d'âge de 40-49 ans échappe à ce phénomène. i
En 2019, les classes d'âge de moins de 40 ans concentrent plus d'AT que leur poids dans la population salariale du secteur privé, tant pour les femmes (54% contre 46%) que les hommes (57% contre 49%). 
La fréquence des AT, qui rapporte à 1 million  d'heures travaillées le volume d'accidents du travail, atteint son apogée parmi les salariés de moins de 20 ans (42,9). Elle diminue en fonction de l'avancée en âge et atteint donc son niveau le plus bas parmi les salariés de 60 ans et plus (17). Dans le détail par sexe, cela se vérifie effectivement pour les hommes mais moins pour les femmes. Les femmes de moins de 30 ans ont nettement plus fréquemment d'AT. Dans les autres classes d'âge, le taux de fréquence est plus faible mais assez resserré.
La fréquence des journées d'arrêt (taux de gravité) augmente avec l'avancée en âge jusque dans la classe d'âge de 50-59 ans (2 pour 1000 heures salariées). Elle est moins élevée parmi les salariés de 60 ans et plus (1,7). Cela peut être mis en lien avec le retrait de l'emploi pour raison de santé d'un certain nombre de personnes de cette classe d'âge. 
Les séquelles physiques permanentes occasionnées par les AT augmentent également avec l'avancée en âge et atteignent leur apogée parmi les salariés d e 60 ans et plus (27,6 de taux d'inacapacité permanente cumulée pour 1 million d'heures travaillées). </t>
  </si>
  <si>
    <t>Le nombre d'accidents du travail (AT) dans le secteur des activités liées à l'emploi en région est en forte croissance en 2019 par rapport à 2016 (+29%). L'évolution à la hausse concerne toutes les classes d'âge.
En 2019, le poids des AT parmi les salariés de moins de 40 ans est plus élevé que leur poids dans la population salariale, tant pour les hommes (70% contre 65%) que pour les femmes (69% contre 63%). 
La fréquence des AT, qui rapporte à 1 million d'heures travaillées le volume d'accidents du travail est nettement supérieure à la moyenne régionale quelque soit la classe d'âge. Elle concerne surtout les salariés de moins de 20 ans (98,9) mais se situe à un niveau encore élévé de 20 à 49 ans (plus de 46 contre moins de 30 en moyenne régionale dans cette classe d'âge) puis diminue en fonction de l'avancée en âge et atteint donc son niveau le plus bas parmi les salariés de 60 ans et plus (30,6 contre 17). Par rapport à 2016, ce taux de fréquence, qui demeure un des plus élevés tous secteurs confondus, augmente. Cela touche toutes les classes d'âge de salariés et surtou les salariés de moins de 20 ans.  
La fréquence des journées d'arrêt (taux de gravité) augmente avec l'avancée en âge jusque dans la classe d'âge de 50-59 ans (4,4 pour 1000 heures salariées) puis diminue légèrement à partir de 60 ans. Cela peut être mis en lien avec le retrait de l'emploi pour raison de santé d'un certain nombre de personnes de cette classe d'âge. Par rapport à 2016, le taux de gravité des AT augmente dans les classes d'âge hormis les moins de 20 ans. 
Les séquelles physiques permanentes occasionnées par les AT sont très fortes dans le secteur (30,8  de taux d'inacapacité permanente cumulée pour 1 million d'heures travaillées contre 16,3 en moyenne régionale). Elles augmentent globalement avec l'avancée en âge et atteignent leur apogée parmi les salariés de 50 à 59 ans (55,2). A partir de 60 ans, elle diminue, sans doute pour les raisons exposées plus haut.</t>
  </si>
  <si>
    <t>Le nombre d'accidents du travail (AT) dans le secteur des travaux de construction spécialisés en région est plutôt stable en 2019 par rapport à 2016. L'évolution est variable selon les classes d'âge, en recul parmi les 20-29 ans mais en progression dans les autres classes d'âge, notamment au-delà de 50 ans.
En 2019, le poids des AT parmi les salariés de moins de 40 ans est plus élevé que leur poids dans la population salariale, tant pour les hommes (62% contre 58%) que pour les femmes (66% contre 42%). 
La fréquence des AT, qui rapporte à 1 million d'heures travaillées le volume d'accidents du travail, concerne surtout les salariés de moins de 20 ans (67,1). Elle diminue en fonction de l'avancée en âge et atteint donc son niveau le plus bas parmi les salariés de 60 ans et plus (19,9). Par rapport à 2016, le taux de fréquence, qui demeure un des plus élevés tous secteurs confondus, diminue un peu. Cela touche toutes les classes d'âge de salariés.  
La fréquence des journées d'arrêt (taux de gravité) augmente avec l'avancée en âge jusque dans la classe d'âge de 50-59 ans (4,1 pour 1000 heures salariées) puis diminue à nouveau à partir de 60 ans. Cela peut être mis en lien avec le retrait de l'emploi pour raison de santé d'un certain nombre de personnes de cette classe d'âge. Par rapport à 2016, le taux de gravité des AT augmente dans les classes d'âge hormis de 40 à 49 ans. 
Les séquelles physiques permanentes occasionnées par les AT augmentent également avec l'avancée en âge et atteignent leur apogée parmi les salariés de 50 à 59 ans (72,7 de taux d'inacapacité permanente cumulée pour 1 million d'heures travaillées). A partir de 60 ans, elle diminue, sans doute pour les raisons exposées plus haut.</t>
  </si>
  <si>
    <t xml:space="preserve">Le nombre d'accidents du travail (AT) dans le secteur de la collecte, traitement et élimination des déchets; récupération en région augemente de 12% en 2019 par rapport à 2016. L'évolution est variable selon les classes d'âge, en hausse parmi les moins de 40 ans et les 50-59 ans mais en stable pour les 40-49 ans et 60 ans et plus.
En 2019, le poids des AT parmi les salariés de moins de 40 ans est plus élevé que leur poids dans la population salariale, tant pour les hommes (51% contre 46%) que pour les femmes (47% contre 44%). 
La fréquence des AT, qui rapporte à 1 million d'heures travaillées le volume d'accidents du travail, concerne surtout les salariés de moins de 20 ans (75,8). Elle diminue en fonction de l'avancée en âge et atteint donc son niveau le plus bas parmi les salariés de 60 ans et plus (21,3). Par rapport à 2016, le taux de fréquence, qui demeure un des plus élevés tous secteurs confondus, augemente un peu. Cela se concentre cependant sur les classes d'âge de 20 à 29 ans et 30 à 39 ans.  
La fréquence des journées d'arrêt (taux de gravité) est la plus élevée parmi les salariés de moins de 20 ans (3,7). Elle est la plus basse entre 20 et 29 ans (2,7) puis augmente avec l'avancée en âge jusque dans la classe d'âge de 50-59 ans (3,5 pour 1000 heures salariées) puis diminue à nouveau à partir de 60 ans. Cela peut être mis en lien avec le retrait de l'emploi pour raison de santé d'un certain nombre de personnes de cette classe d'âge. Par rapport à 2016, le taux de gravité des AT augmente dans toutes les classes d'âge hormis les 60 ans et plus. 
Les séquelles physiques permanentes occasionnées par les AT (taux d'inacapacité permanente cumulée pour 1 million d'heures travaillées) sont très variables selon l'âge. A partir de 60 ans, elle diminue, sans doute pour les raisons exposées plus haut. Faible en-dessous de 30 ans, elles sont plus élevées au-delà, particulièrement ente 30 et 39 ans (36,9) et au-delà de 60 ans (62,7). </t>
  </si>
  <si>
    <t>Le nombre d'accidents du travail (AT) dans le secteur de l'action sociale sans hébergement en région croît de 9% en 2019 par rapport à 2016. L'évolution à la hausse concerne toutes les classes d'âge,
En 2019, le poids des AT parmi les salariés de moins de 40 ans est plus élevé que leur poids dans la population salariale, tant pour les hommes (50% contre 44%) que pour les femmes (48% contre 36%). 
La fréquence des AT, qui rapporte à 1 million d'heures travaillées le volume d'accidents du travail, concerne surtout les salariés de moins de 20 ans (111,7). Elle diminue en fonction de l'avancée en âge et atteint donc son niveau le plus bas parmi les salariés de 60 ans et plus (30,4). Par rapport à 2016, le taux de fréquence, qui demeure un des plus élevés tous secteurs confondus, diminue un peu. Cela touche les classes d'âge de 20 à 49 ans.  
La fréquence des journées d'arrêt (taux de gravité) augmente globalement avec l'avancée en âge jusque dans la classe d'âge de 50-59 ans (3,6 pour 1000 heures salariées) puis diminue à nouveau à partir de 60 ans. Cela peut être mis en lien avec le retrait de l'emploi pour raison de santé d'un certain nombre de personnes de cette classe d'âge. Par rapport à 2016, le taux de gravité des AT est stable. Dans le détail, il diminue un peu en-dessous de 40 ans et croît plutôt au-delà.
Les séquelles physiques permanentes occasionnées par les AT augmentent également avec l'avancée en âge et atteignent leur apogée parmi les salariés de 50 à 59 ans (30,1 de taux d'inacapacité permanente cumulée pour 1 million d'heures travaillées). A partir de 60 ans, elle diminue, sans doute pour les raisons exposées plus haut. Cet indice de gravité est stable par rapport à 2016.</t>
  </si>
  <si>
    <t>Le nombre d'accidents du travail (AT) dans le secteur des transports terrestres et transport par conduites en région croît de 12% en 2019 par rapport à 2016. L'évolution à la hausse concerne toutes les classes d'âge. 
En 2019, le poids des AT parmi les salariés de moins de 40 ans est plus élevé que leur poids dans la population salariale, tant pour les hommes (45% contre 38%) que pour les femmes (49% contre 42%). 
La fréquence des AT, qui rapporte à 1 million d'heures travaillées le volume d'accidents du travail, concerne surtout les salariés de moins de 20 ans (76,6). Elle diminue en fonction de l'avancée en âge et atteint donc son niveau le plus bas parmi les salariés de 60 ans et plus (23,7). Par rapport à 2016, le taux de fréquence, qui demeure un des plus élevés tous secteurs confondus, diminue un peu. Cela touche les classes d'âge de 20 à 49 ans.  
l
La fréquence des journées d'arrêt pour 1 000 heures salariées (taux de gravité) est la plus élevée entre 30 et 59 ans. Le taux plus bas au-delà de 60 ans peut être mis en lien avec le retrait de l'emploi pour raison de santé d'un certain nombre de personnes de cette classe d'âge. Par rapport à 2016, le taux de gravité des AT est en recul. Celui-ci concerne toutes les classes d'âge hormis les moins de 20 ans où il est plutôt stable.
Les séquelles physiques permanentes occasionnées par les AT augmentent également avec l'avancée en âge et atteignent leur apogée parmi les salariés de 60 ans et plus (57,2 de taux d'inacapacité permanente cumulée pour 1 million d'heures travaillées). Cet indice de gravité est en baisse par rapport à 2016 dans toutes les classes d'âge hormis celle de 60 ans et plus.</t>
  </si>
  <si>
    <t>Le nombre d'accidents du travail (AT) dans le secteur de l'entreposage et services auxiliaires de transports en région croît de 1% en 2019 par rapport à 2016. L'évolution à la hausse concerne les classes d'âge au-delà de 40 ans et celle de moins de 20 ans. 
En 2019, le poids des AT parmi les salariés de moins de 40 ans est plus élevé que leur poids dans la population salariale, tant pour les hommes (52% contre 45%) que pour les femmes (58% contre 47%). 
La fréquence des AT, qui rapporte à 1 million d'heures travaillées le volume d'accidents du travail, concerne surtout les salariés de moins de 20 ans (81,4). Elle diminue en fonction de l'avancée en âge et atteint donc son niveau le plus bas parmi les salariés de 60 ans et plus (18). Par rapport à 2016, le taux de fréquence, qui demeure un des plus élevés tous secteurs confondus, est en nette baisse. Cela touche toutes les classes d'âge hormis les moins de 20 ans.  
La fréquence des journées d'arrêt pour 1 000 heures salariées (taux de gravité) augmente avec l'avancée en âge et est la plus élevée entre 40 et 49 ans (2,5). Le taux plus bas au-delà de 50 ans peut être mis en lien avec le retrait de l'emploi pour raison de santé d'un certain nombre de personnes de cette classe d'âge. Par rapport à 2016, le taux de gravité des AT est en recul. Celui-ci concerne toutes les classes d'âge hormis les 60 ans et plus.
Les séquelles physiques permanentes occasionnées par les AT (taux d'inacapacité permanente cumulée pour 1 million d'heures travaillées) sont variables selon l'âge. L'indice est le plus élevé est parmi les salariés de 50 à 59 ans (20,9). Cet indice de gravité est en nette baisse par rapport à 2016 dans toutes les classes d'âge hormis celle de 60 ans et plus.</t>
  </si>
  <si>
    <t xml:space="preserve">Le nombre d'accidents du travail (AT) dans le secteur des services relatifs aux bâtiments et aménagement paysager en région croît de 6% en 2019 par rapport à 2016. L'évolution à la hausse concerne toutes les classes d'âge hormis celle de 20-29 ans. 
En 2019, le poids des AT parmi les salariés de moins de 40 ans est plus élevé que leur poids dans la population salariale pour les hommes (62% contre 53%) mais identique pour les femmes (32%). 
La fréquence des AT, qui rapporte à 1 million d'heures travaillées le volume d'accidents du travail, concerne surtout les salariés de moins de 20 ans (76,1). Elle diminue en fonction de l'avancée en âge. La classe de 50 à 59 ans y fait exception. Elle atteint son niveau le plus bas parmi les salariés de 60 ans et plus (29,9). Par rapport à 2016, le taux de fréquence, qui demeure un des plus élevés tous secteurs confondus, est en légère baisse. Ce recul touche  les classes d'âge de 20 à 49 ans. Elle augmente dans les autres classes. 
La fréquence des journées d'arrêt pour 1 000 heures salariées (taux de gravité) augmente avec l'avancée en âge et atteint son apogée entre 50 et 59 ans (4,4). Le taux plus bas au-delà de 60 ans peut être mis en lien avec le retrait de l'emploi pour raison de santé d'un certain nombre de personnes de cette classe d'âge. Par rapport à 2016, le taux de gravité des AT est en très léger recul. Celui-ci concerne toutes les classes d'âge hormis les moins de 20 ans et les 50-59 ans.
Les séquelles physiques permanentes occasionnées par les AT (taux d'inacapacité permanente cumulée pour 1 million d'heures travaillées) augmentent également avec l'avancée en âge jusqu'à 50-59 ans (58,8) et baisse ensuite, sans doute pour les raisons évoquées ci-dessus. Cet indice de gravité est en hausse par rapport à 2016. Pour autant, elle se concentre sur les classes d'âge de 40 à 49 ans et 50 à 59 ans. </t>
  </si>
  <si>
    <t>Le nombre d'accidents du travail (AT) dans le secteur de la restauration en région baisse de 2% en 2019 par rapport à 2016. L'évolution à la baisse concerne toutes les classes d'âge hormis celle des moins de 20 ans ou de 60 ans et plus. 
En 2019, le poids des AT parmi les salariés de moins de 40 ans est plus élevé que leur poids dans la population salariale tanr pour les hommes (76% contre 66%) que pour les femmes (71 contre 63%). 
La fréquence des AT, qui rapporte à 1 million d'heures travaillées le volume d'accidents du travail, concerne surtout les salariés de moins de 20 ans (38,8). Elle diminue en fonction de l'avancée en âge. La classe de 50 à 59 ans y fait exception. Elle atteint son niveau le plus bas parmi les salariés de 60 ans et plus (17,5). Par rapport à 2016, le taux de fréquence, qui demeure un des plus élevés tous secteurs confondus, est en baisse. Ce recul touche toutes les classes d'âge.
La fréquence des journées d'arrêt pour 1 000 heures salariées (taux de gravité) augmente avec l'avancée en âge et atteint son apogée entre 40 et 49 ans (2,4). La diminution du taux  au-delà de 50 ans peut être mis en lien avec le retrait de l'emploi pour raison de santé d'un certain nombre de personnes de cette classe d'âge. Par rapport à 2016, le taux de gravité des AT est en très léger recul. Celui-ci concerne toutes les classes d'âge hormis les 40-49 ans.
Les séquelles physiques permanentes occasionnées par les AT (taux d'inacapacité permanente cumulée pour 1 million d'heures travaillées) augmentent également avec l'avancée en âge jusqu'à 50-59 ans (23,5) et baisse ensuite, sans doute pour les raisons évoquées ci-dessus. Cet indice de gravité est en nette baisse par rapport à 2016 et ce dans toutes les classes d'âge.</t>
  </si>
  <si>
    <t>Sources : INSEE Recensement de la population 2016 2019, Carsat Rhône-Alpes – DARES/CNAM 2016 2019 / traitement : Dreets Auvergne-Rhône-Alpes / SESE, 2016 2019</t>
  </si>
  <si>
    <t>Champ : Salariés du régime général et agricole,  Auvergne-Rhône-Alpes</t>
  </si>
  <si>
    <r>
      <t xml:space="preserve">Lecture : Dans le secteur des industries alimentaires, </t>
    </r>
    <r>
      <rPr>
        <b/>
        <sz val="8"/>
        <color rgb="FFFF0000"/>
        <rFont val="Arial"/>
        <family val="2"/>
      </rPr>
      <t>X</t>
    </r>
    <r>
      <rPr>
        <sz val="8"/>
        <rFont val="Arial"/>
        <family val="2"/>
      </rPr>
      <t xml:space="preserve">% des salariés sont des hommes, </t>
    </r>
    <r>
      <rPr>
        <b/>
        <sz val="8"/>
        <color rgb="FFFF0000"/>
        <rFont val="Arial"/>
        <family val="2"/>
      </rPr>
      <t>X</t>
    </r>
    <r>
      <rPr>
        <sz val="8"/>
        <rFont val="Arial"/>
        <family val="2"/>
      </rPr>
      <t>% d'entre eux sont âgés de 40 à 49 ans.</t>
    </r>
  </si>
  <si>
    <t>Lecture : Dans le secteur des industries alimentaires, l'indice de fréquence des accidents du travail des hommes de 40 à 49 ans est de 56,3 en 2016 et de 56,5 en 2019.</t>
  </si>
  <si>
    <r>
      <t>Lecture : Dans le secteur de la fabrication de produits métalliques, à l'exception des machines et des équipements, le taux de gravité des hommes de 50 à 59 ans est de 38,1 en 2016 et de 55</t>
    </r>
    <r>
      <rPr>
        <b/>
        <sz val="8"/>
        <color rgb="FFFF0000"/>
        <rFont val="Arial"/>
        <family val="2"/>
      </rPr>
      <t xml:space="preserve"> </t>
    </r>
    <r>
      <rPr>
        <sz val="8"/>
        <rFont val="Arial"/>
        <family val="2"/>
      </rPr>
      <t>en 2019.</t>
    </r>
  </si>
  <si>
    <t xml:space="preserve">Dans le secteur des industries alimentaires où les effectifs apparaissent plus jeunes qu'en moyenne régional, on dénombre 2 714 accidents du travail (AT) en 2019 en région Auvergne-Rhône-Alpes qui concernent à 56% des salariés de moins de 50 ans. Ces AT concernent plus fortement les hommes (64% alors qu'ils représentent 55% des effectifs) et sont en croissance de 6% entre 2016 et 2019. 
Le taux de fréquence des AT est de 26,9 et croît d'1 point en 3 ans. Il est plus élevé également pour les hommes (30 AT pour 1 million d'heures salariées contre 22,8 pour les femmes). Les tranches d'âge les plus touchées sont celles de 20-29 ans (30,3) et 30-39 ans (28,2). 
La gravité des AT est également plus forte qu'en moyenne dans ce secteur. Le taux de gravité est de 2,1 contre 1,7 et l'indice de gravité est de 25 contre 16,3 et croît entre 2016 et 2019. Les salariés de 30 à 59 ans sont les plus touchés par la gracvité des AT, à la fois par le nombre de jours d'arrêt et d'incapacité physique permanente. Cette dernière est notamment très forte pour les hommes de 50-59 ans (55 contre 33,5 en moyenne régionale). </t>
  </si>
  <si>
    <t>ns</t>
  </si>
  <si>
    <t>ns= non significatif carle nombre d'AT est inférieur à 20</t>
  </si>
  <si>
    <t>50 ans et plus</t>
  </si>
  <si>
    <t>-29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</si>
</sst>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Arial"/>
      <family val="2"/>
    </font>
    <font>
      <b/>
      <sz val="18"/>
      <color rgb="FF00B0F0"/>
      <name val="Arial"/>
      <family val="2"/>
    </font>
    <font>
      <b/>
      <sz val="11"/>
      <name val="Calibri"/>
      <family val="2"/>
      <scheme val="minor"/>
    </font>
    <font>
      <b/>
      <sz val="9"/>
      <color theme="1"/>
      <name val="Arial"/>
      <family val="2"/>
    </font>
    <font>
      <b/>
      <sz val="9"/>
      <color rgb="FF000000"/>
      <name val="Arial"/>
      <family val="2"/>
    </font>
    <font>
      <b/>
      <i/>
      <sz val="9"/>
      <color theme="1"/>
      <name val="Arial"/>
      <family val="2"/>
    </font>
    <font>
      <b/>
      <sz val="9"/>
      <name val="Arial"/>
      <family val="2"/>
    </font>
    <font>
      <sz val="9"/>
      <name val="Arial"/>
      <family val="2"/>
    </font>
    <font>
      <sz val="9"/>
      <color theme="1"/>
      <name val="Arial"/>
      <family val="2"/>
    </font>
    <font>
      <sz val="8"/>
      <name val="Arial"/>
      <family val="2"/>
    </font>
    <font>
      <b/>
      <i/>
      <sz val="9"/>
      <name val="Arial"/>
      <family val="2"/>
    </font>
    <font>
      <sz val="11"/>
      <color theme="1"/>
      <name val="Gadugi"/>
      <family val="2"/>
    </font>
    <font>
      <sz val="11"/>
      <name val="Gadugi"/>
      <family val="2"/>
    </font>
    <font>
      <sz val="11"/>
      <color rgb="FF00B050"/>
      <name val="Gadugi"/>
      <family val="2"/>
    </font>
    <font>
      <b/>
      <sz val="8"/>
      <color rgb="FFFF0000"/>
      <name val="Arial"/>
      <family val="2"/>
    </font>
    <font>
      <b/>
      <sz val="8"/>
      <name val="Arial"/>
      <family val="2"/>
    </font>
    <font>
      <sz val="10"/>
      <color rgb="FF000000"/>
      <name val="Arial"/>
      <family val="2"/>
    </font>
    <font>
      <b/>
      <sz val="8"/>
      <color theme="4" tint="-0.249977111117893"/>
      <name val="Arial"/>
      <family val="2"/>
    </font>
    <font>
      <sz val="8"/>
      <color theme="4" tint="-0.249977111117893"/>
      <name val="Arial"/>
      <family val="2"/>
    </font>
    <font>
      <i/>
      <sz val="9"/>
      <color theme="1"/>
      <name val="Arial"/>
      <family val="2"/>
    </font>
  </fonts>
  <fills count="12">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AFBFE"/>
        <bgColor indexed="64"/>
      </patternFill>
    </fill>
  </fills>
  <borders count="65">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ck">
        <color theme="3" tint="0.39991454817346722"/>
      </left>
      <right/>
      <top style="thick">
        <color theme="3" tint="0.39988402966399123"/>
      </top>
      <bottom/>
      <diagonal/>
    </border>
    <border>
      <left/>
      <right/>
      <top style="thick">
        <color theme="3" tint="0.39988402966399123"/>
      </top>
      <bottom/>
      <diagonal/>
    </border>
    <border>
      <left/>
      <right style="thick">
        <color theme="3" tint="0.39988402966399123"/>
      </right>
      <top style="thick">
        <color theme="3" tint="0.39988402966399123"/>
      </top>
      <bottom/>
      <diagonal/>
    </border>
    <border>
      <left style="thick">
        <color theme="3" tint="0.39991454817346722"/>
      </left>
      <right/>
      <top/>
      <bottom/>
      <diagonal/>
    </border>
    <border>
      <left/>
      <right style="thick">
        <color theme="3" tint="0.39988402966399123"/>
      </right>
      <top/>
      <bottom/>
      <diagonal/>
    </border>
    <border>
      <left style="thick">
        <color theme="3" tint="0.39991454817346722"/>
      </left>
      <right/>
      <top/>
      <bottom style="thick">
        <color theme="3" tint="0.39988402966399123"/>
      </bottom>
      <diagonal/>
    </border>
    <border>
      <left/>
      <right/>
      <top/>
      <bottom style="thick">
        <color theme="3" tint="0.39988402966399123"/>
      </bottom>
      <diagonal/>
    </border>
    <border>
      <left/>
      <right style="thick">
        <color theme="3" tint="0.39988402966399123"/>
      </right>
      <top/>
      <bottom style="thick">
        <color theme="3" tint="0.39988402966399123"/>
      </bottom>
      <diagonal/>
    </border>
    <border>
      <left style="thick">
        <color theme="3" tint="0.39988402966399123"/>
      </left>
      <right/>
      <top style="thick">
        <color theme="3" tint="0.39988402966399123"/>
      </top>
      <bottom/>
      <diagonal/>
    </border>
    <border>
      <left style="thick">
        <color theme="3" tint="0.39988402966399123"/>
      </left>
      <right/>
      <top/>
      <bottom/>
      <diagonal/>
    </border>
    <border>
      <left style="thick">
        <color theme="3" tint="0.39988402966399123"/>
      </left>
      <right/>
      <top/>
      <bottom style="thick">
        <color theme="3" tint="0.39988402966399123"/>
      </bottom>
      <diagonal/>
    </border>
    <border>
      <left style="thick">
        <color theme="3" tint="0.39988402966399123"/>
      </left>
      <right/>
      <top style="thick">
        <color theme="3" tint="0.39991454817346722"/>
      </top>
      <bottom/>
      <diagonal/>
    </border>
    <border>
      <left/>
      <right/>
      <top style="thick">
        <color theme="3" tint="0.39991454817346722"/>
      </top>
      <bottom/>
      <diagonal/>
    </border>
    <border>
      <left/>
      <right style="thick">
        <color theme="3" tint="0.39988402966399123"/>
      </right>
      <top style="thick">
        <color theme="3" tint="0.39991454817346722"/>
      </top>
      <bottom/>
      <diagonal/>
    </border>
    <border>
      <left style="thick">
        <color theme="3" tint="0.39991454817346722"/>
      </left>
      <right/>
      <top style="thick">
        <color theme="3" tint="0.39994506668294322"/>
      </top>
      <bottom/>
      <diagonal/>
    </border>
    <border>
      <left/>
      <right/>
      <top style="thick">
        <color theme="3" tint="0.39994506668294322"/>
      </top>
      <bottom/>
      <diagonal/>
    </border>
    <border>
      <left/>
      <right style="thick">
        <color theme="3" tint="0.39991454817346722"/>
      </right>
      <top style="thick">
        <color theme="3" tint="0.39994506668294322"/>
      </top>
      <bottom/>
      <diagonal/>
    </border>
    <border>
      <left/>
      <right style="thick">
        <color theme="3" tint="0.39991454817346722"/>
      </right>
      <top/>
      <bottom/>
      <diagonal/>
    </border>
    <border>
      <left style="thick">
        <color theme="3" tint="0.39991454817346722"/>
      </left>
      <right/>
      <top/>
      <bottom style="thick">
        <color theme="3" tint="0.39991454817346722"/>
      </bottom>
      <diagonal/>
    </border>
    <border>
      <left/>
      <right/>
      <top/>
      <bottom style="thick">
        <color theme="3" tint="0.39991454817346722"/>
      </bottom>
      <diagonal/>
    </border>
    <border>
      <left/>
      <right style="thick">
        <color theme="3" tint="0.39991454817346722"/>
      </right>
      <top/>
      <bottom style="thick">
        <color theme="3" tint="0.39991454817346722"/>
      </bottom>
      <diagonal/>
    </border>
    <border>
      <left style="thick">
        <color theme="3" tint="0.39994506668294322"/>
      </left>
      <right/>
      <top style="thick">
        <color theme="3" tint="0.39991454817346722"/>
      </top>
      <bottom/>
      <diagonal/>
    </border>
    <border>
      <left/>
      <right style="thick">
        <color theme="3" tint="0.39991454817346722"/>
      </right>
      <top style="thick">
        <color theme="3" tint="0.39991454817346722"/>
      </top>
      <bottom/>
      <diagonal/>
    </border>
    <border>
      <left style="thick">
        <color theme="3" tint="0.39994506668294322"/>
      </left>
      <right/>
      <top/>
      <bottom/>
      <diagonal/>
    </border>
    <border>
      <left style="thick">
        <color theme="3" tint="0.39994506668294322"/>
      </left>
      <right/>
      <top/>
      <bottom style="thick">
        <color theme="3" tint="0.39991454817346722"/>
      </bottom>
      <diagonal/>
    </border>
    <border>
      <left style="thick">
        <color theme="3" tint="0.39985351115451523"/>
      </left>
      <right/>
      <top style="thick">
        <color theme="3" tint="0.39988402966399123"/>
      </top>
      <bottom/>
      <diagonal/>
    </border>
    <border>
      <left/>
      <right style="thick">
        <color theme="3" tint="0.39985351115451523"/>
      </right>
      <top style="thick">
        <color theme="3" tint="0.39988402966399123"/>
      </top>
      <bottom/>
      <diagonal/>
    </border>
    <border>
      <left style="thick">
        <color theme="3" tint="0.39985351115451523"/>
      </left>
      <right/>
      <top/>
      <bottom/>
      <diagonal/>
    </border>
    <border>
      <left/>
      <right style="thick">
        <color theme="3" tint="0.39985351115451523"/>
      </right>
      <top/>
      <bottom/>
      <diagonal/>
    </border>
    <border>
      <left style="thick">
        <color theme="3" tint="0.39985351115451523"/>
      </left>
      <right/>
      <top/>
      <bottom style="thick">
        <color theme="3" tint="0.39985351115451523"/>
      </bottom>
      <diagonal/>
    </border>
    <border>
      <left/>
      <right/>
      <top/>
      <bottom style="thick">
        <color theme="3" tint="0.39985351115451523"/>
      </bottom>
      <diagonal/>
    </border>
    <border>
      <left/>
      <right style="thick">
        <color theme="3" tint="0.39985351115451523"/>
      </right>
      <top/>
      <bottom style="thick">
        <color theme="3" tint="0.39985351115451523"/>
      </bottom>
      <diagonal/>
    </border>
    <border>
      <left/>
      <right/>
      <top style="thick">
        <color theme="3" tint="0.39982299264503923"/>
      </top>
      <bottom/>
      <diagonal/>
    </border>
    <border>
      <left style="thick">
        <color theme="3" tint="0.39979247413556324"/>
      </left>
      <right/>
      <top style="thick">
        <color theme="3" tint="0.39982299264503923"/>
      </top>
      <bottom/>
      <diagonal/>
    </border>
    <border>
      <left/>
      <right style="thick">
        <color theme="3" tint="0.39979247413556324"/>
      </right>
      <top style="thick">
        <color theme="3" tint="0.39982299264503923"/>
      </top>
      <bottom/>
      <diagonal/>
    </border>
    <border>
      <left style="thick">
        <color theme="3" tint="0.39979247413556324"/>
      </left>
      <right/>
      <top/>
      <bottom/>
      <diagonal/>
    </border>
    <border>
      <left/>
      <right style="thick">
        <color theme="3" tint="0.39979247413556324"/>
      </right>
      <top/>
      <bottom/>
      <diagonal/>
    </border>
    <border>
      <left style="thick">
        <color theme="3" tint="0.39979247413556324"/>
      </left>
      <right/>
      <top/>
      <bottom style="thick">
        <color theme="3" tint="0.39979247413556324"/>
      </bottom>
      <diagonal/>
    </border>
    <border>
      <left/>
      <right/>
      <top/>
      <bottom style="thick">
        <color theme="3" tint="0.39979247413556324"/>
      </bottom>
      <diagonal/>
    </border>
    <border>
      <left/>
      <right style="thick">
        <color theme="3" tint="0.39979247413556324"/>
      </right>
      <top/>
      <bottom style="thick">
        <color theme="3" tint="0.39979247413556324"/>
      </bottom>
      <diagonal/>
    </border>
    <border>
      <left style="thick">
        <color theme="3" tint="0.39994506668294322"/>
      </left>
      <right/>
      <top style="thick">
        <color theme="3" tint="0.39994506668294322"/>
      </top>
      <bottom/>
      <diagonal/>
    </border>
    <border>
      <left/>
      <right style="thick">
        <color theme="3" tint="0.39994506668294322"/>
      </right>
      <top style="thick">
        <color theme="3" tint="0.39994506668294322"/>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3" fillId="0" borderId="0" xfId="0" applyFont="1"/>
    <xf numFmtId="0" fontId="5" fillId="0" borderId="0" xfId="0" applyFont="1" applyAlignment="1"/>
    <xf numFmtId="0" fontId="5" fillId="2" borderId="0" xfId="0" applyFont="1" applyFill="1" applyAlignment="1"/>
    <xf numFmtId="0" fontId="0" fillId="2" borderId="0" xfId="0" applyFill="1"/>
    <xf numFmtId="0" fontId="7" fillId="4" borderId="5" xfId="0" applyFont="1" applyFill="1" applyBorder="1" applyAlignment="1">
      <alignment horizontal="centerContinuous" vertical="center" wrapText="1"/>
    </xf>
    <xf numFmtId="0" fontId="7" fillId="4" borderId="6" xfId="0" applyFont="1" applyFill="1" applyBorder="1" applyAlignment="1">
      <alignment horizontal="centerContinuous" vertical="center" wrapText="1"/>
    </xf>
    <xf numFmtId="0" fontId="7" fillId="4" borderId="7" xfId="0" applyFont="1" applyFill="1" applyBorder="1" applyAlignment="1">
      <alignment horizontal="centerContinuous" vertical="center" wrapText="1"/>
    </xf>
    <xf numFmtId="0" fontId="7" fillId="4" borderId="8" xfId="0" applyFont="1" applyFill="1" applyBorder="1" applyAlignment="1">
      <alignment horizontal="centerContinuous" vertical="center" wrapText="1"/>
    </xf>
    <xf numFmtId="0" fontId="9" fillId="5" borderId="11" xfId="0" applyFont="1" applyFill="1" applyBorder="1" applyAlignment="1">
      <alignment horizontal="centerContinuous"/>
    </xf>
    <xf numFmtId="0" fontId="9" fillId="6" borderId="11" xfId="0" applyFont="1" applyFill="1" applyBorder="1" applyAlignment="1">
      <alignment horizontal="centerContinuous"/>
    </xf>
    <xf numFmtId="0" fontId="6" fillId="7" borderId="12" xfId="0" applyFont="1" applyFill="1" applyBorder="1" applyAlignment="1">
      <alignment horizontal="center"/>
    </xf>
    <xf numFmtId="0" fontId="6" fillId="7" borderId="4" xfId="0" applyFont="1" applyFill="1" applyBorder="1" applyAlignment="1">
      <alignment horizontal="center"/>
    </xf>
    <xf numFmtId="0" fontId="6" fillId="7" borderId="13" xfId="0" applyFont="1" applyFill="1" applyBorder="1" applyAlignment="1">
      <alignment horizontal="center"/>
    </xf>
    <xf numFmtId="0" fontId="7" fillId="5" borderId="12" xfId="0" applyFont="1" applyFill="1" applyBorder="1" applyAlignment="1">
      <alignment horizontal="center"/>
    </xf>
    <xf numFmtId="0" fontId="7" fillId="5" borderId="4" xfId="0" applyFont="1" applyFill="1" applyBorder="1" applyAlignment="1">
      <alignment horizontal="center"/>
    </xf>
    <xf numFmtId="0" fontId="7" fillId="5" borderId="13" xfId="0" applyFont="1" applyFill="1" applyBorder="1" applyAlignment="1">
      <alignment horizontal="center"/>
    </xf>
    <xf numFmtId="0" fontId="7" fillId="6" borderId="13" xfId="0" applyFont="1" applyFill="1" applyBorder="1" applyAlignment="1">
      <alignment horizontal="center"/>
    </xf>
    <xf numFmtId="0" fontId="10" fillId="8" borderId="14" xfId="0" applyFont="1" applyFill="1" applyBorder="1"/>
    <xf numFmtId="9" fontId="11" fillId="0" borderId="15" xfId="1" applyFont="1" applyBorder="1" applyAlignment="1">
      <alignment horizontal="center"/>
    </xf>
    <xf numFmtId="9" fontId="11" fillId="0" borderId="16" xfId="1" applyFont="1" applyBorder="1" applyAlignment="1">
      <alignment horizontal="center"/>
    </xf>
    <xf numFmtId="3" fontId="11" fillId="0" borderId="15" xfId="0" applyNumberFormat="1" applyFont="1" applyFill="1" applyBorder="1"/>
    <xf numFmtId="3" fontId="11" fillId="0" borderId="17" xfId="0" applyNumberFormat="1" applyFont="1" applyFill="1" applyBorder="1"/>
    <xf numFmtId="3" fontId="11" fillId="0" borderId="16" xfId="0" applyNumberFormat="1" applyFont="1" applyFill="1" applyBorder="1"/>
    <xf numFmtId="9" fontId="10" fillId="0" borderId="17" xfId="1" applyFont="1" applyFill="1" applyBorder="1" applyAlignment="1">
      <alignment horizontal="center"/>
    </xf>
    <xf numFmtId="3" fontId="10" fillId="0" borderId="17" xfId="0" applyNumberFormat="1" applyFont="1" applyFill="1" applyBorder="1"/>
    <xf numFmtId="0" fontId="9" fillId="9" borderId="11" xfId="0" applyFont="1" applyFill="1" applyBorder="1" applyAlignment="1">
      <alignment vertical="top" wrapText="1"/>
    </xf>
    <xf numFmtId="9" fontId="11" fillId="0" borderId="9" xfId="1" applyFont="1" applyBorder="1" applyAlignment="1">
      <alignment horizontal="center" vertical="center"/>
    </xf>
    <xf numFmtId="9" fontId="11" fillId="0" borderId="10" xfId="1" applyFont="1" applyBorder="1" applyAlignment="1">
      <alignment horizontal="center" vertical="center"/>
    </xf>
    <xf numFmtId="9" fontId="11" fillId="0" borderId="9" xfId="1" applyFont="1" applyBorder="1" applyAlignment="1">
      <alignment horizontal="center"/>
    </xf>
    <xf numFmtId="9" fontId="11" fillId="0" borderId="10" xfId="1" applyFont="1" applyBorder="1" applyAlignment="1">
      <alignment horizontal="center"/>
    </xf>
    <xf numFmtId="3" fontId="11" fillId="0" borderId="9" xfId="0" applyNumberFormat="1" applyFont="1" applyFill="1" applyBorder="1"/>
    <xf numFmtId="3" fontId="11" fillId="0" borderId="0" xfId="0" applyNumberFormat="1" applyFont="1" applyFill="1" applyBorder="1"/>
    <xf numFmtId="3" fontId="11" fillId="0" borderId="10" xfId="0" applyNumberFormat="1" applyFont="1" applyFill="1" applyBorder="1"/>
    <xf numFmtId="9" fontId="10" fillId="0" borderId="0" xfId="1" applyFont="1" applyFill="1" applyBorder="1" applyAlignment="1">
      <alignment horizontal="center"/>
    </xf>
    <xf numFmtId="3" fontId="10" fillId="0" borderId="0" xfId="0" applyNumberFormat="1" applyFont="1" applyFill="1" applyBorder="1"/>
    <xf numFmtId="0" fontId="9" fillId="9" borderId="18" xfId="0" applyFont="1" applyFill="1" applyBorder="1" applyAlignment="1">
      <alignment vertical="top" wrapText="1"/>
    </xf>
    <xf numFmtId="9" fontId="11" fillId="0" borderId="12" xfId="1" applyFont="1" applyBorder="1" applyAlignment="1">
      <alignment horizontal="center"/>
    </xf>
    <xf numFmtId="9" fontId="11" fillId="0" borderId="13" xfId="1" applyFont="1" applyBorder="1" applyAlignment="1">
      <alignment horizontal="center"/>
    </xf>
    <xf numFmtId="3" fontId="11" fillId="0" borderId="12" xfId="0" applyNumberFormat="1" applyFont="1" applyFill="1" applyBorder="1" applyAlignment="1"/>
    <xf numFmtId="3" fontId="11" fillId="0" borderId="4" xfId="0" applyNumberFormat="1" applyFont="1" applyFill="1" applyBorder="1" applyAlignment="1"/>
    <xf numFmtId="3" fontId="11" fillId="0" borderId="13" xfId="0" applyNumberFormat="1" applyFont="1" applyFill="1" applyBorder="1" applyAlignment="1"/>
    <xf numFmtId="9" fontId="10" fillId="0" borderId="4" xfId="1" applyFont="1" applyFill="1" applyBorder="1" applyAlignment="1">
      <alignment horizontal="center"/>
    </xf>
    <xf numFmtId="3" fontId="10" fillId="0" borderId="4" xfId="0" applyNumberFormat="1" applyFont="1" applyFill="1" applyBorder="1" applyAlignment="1"/>
    <xf numFmtId="0" fontId="12" fillId="10" borderId="0" xfId="0" applyFont="1" applyFill="1" applyBorder="1" applyAlignment="1">
      <alignment vertical="center"/>
    </xf>
    <xf numFmtId="9" fontId="11" fillId="0" borderId="0" xfId="1" applyFont="1" applyBorder="1" applyAlignment="1">
      <alignment horizontal="center"/>
    </xf>
    <xf numFmtId="0" fontId="11" fillId="0" borderId="0" xfId="0" applyFont="1" applyFill="1" applyBorder="1" applyAlignment="1"/>
    <xf numFmtId="0" fontId="12" fillId="0" borderId="0" xfId="0" applyFont="1" applyFill="1" applyBorder="1" applyAlignment="1">
      <alignment vertical="top"/>
    </xf>
    <xf numFmtId="0" fontId="0" fillId="0" borderId="0" xfId="0" applyFill="1"/>
    <xf numFmtId="0" fontId="6" fillId="0" borderId="8" xfId="0" applyFont="1" applyBorder="1" applyAlignment="1">
      <alignment vertical="center" wrapText="1"/>
    </xf>
    <xf numFmtId="0" fontId="9" fillId="4" borderId="5" xfId="0" applyFont="1" applyFill="1" applyBorder="1" applyAlignment="1">
      <alignment horizontal="centerContinuous" vertical="top" wrapText="1"/>
    </xf>
    <xf numFmtId="0" fontId="9" fillId="4" borderId="6" xfId="0" applyFont="1" applyFill="1" applyBorder="1" applyAlignment="1">
      <alignment horizontal="centerContinuous" vertical="top" wrapText="1"/>
    </xf>
    <xf numFmtId="0" fontId="9" fillId="4" borderId="7" xfId="0" applyFont="1" applyFill="1" applyBorder="1" applyAlignment="1">
      <alignment horizontal="centerContinuous" vertical="top" wrapText="1"/>
    </xf>
    <xf numFmtId="0" fontId="6" fillId="0" borderId="11" xfId="0" applyFont="1" applyBorder="1" applyAlignment="1">
      <alignment vertical="center" wrapText="1"/>
    </xf>
    <xf numFmtId="0" fontId="6" fillId="0" borderId="18" xfId="0" applyFont="1" applyBorder="1" applyAlignment="1">
      <alignment vertical="center" wrapText="1"/>
    </xf>
    <xf numFmtId="0" fontId="7" fillId="6" borderId="4" xfId="0" applyFont="1" applyFill="1" applyBorder="1" applyAlignment="1">
      <alignment horizontal="center"/>
    </xf>
    <xf numFmtId="164" fontId="11" fillId="0" borderId="15" xfId="0" applyNumberFormat="1" applyFont="1" applyFill="1" applyBorder="1"/>
    <xf numFmtId="164" fontId="11" fillId="0" borderId="17" xfId="0" applyNumberFormat="1" applyFont="1" applyFill="1" applyBorder="1"/>
    <xf numFmtId="164" fontId="11" fillId="0" borderId="16" xfId="0" applyNumberFormat="1" applyFont="1" applyFill="1" applyBorder="1"/>
    <xf numFmtId="164" fontId="11" fillId="0" borderId="9" xfId="0" applyNumberFormat="1" applyFont="1" applyFill="1" applyBorder="1"/>
    <xf numFmtId="164" fontId="11" fillId="0" borderId="0" xfId="0" applyNumberFormat="1" applyFont="1" applyFill="1" applyBorder="1"/>
    <xf numFmtId="164" fontId="11" fillId="0" borderId="10" xfId="0" applyNumberFormat="1" applyFont="1" applyFill="1" applyBorder="1"/>
    <xf numFmtId="164" fontId="0" fillId="0" borderId="0" xfId="0" applyNumberFormat="1"/>
    <xf numFmtId="164" fontId="11" fillId="0" borderId="12" xfId="0" applyNumberFormat="1" applyFont="1" applyFill="1" applyBorder="1"/>
    <xf numFmtId="164" fontId="11" fillId="0" borderId="4" xfId="0" applyNumberFormat="1" applyFont="1" applyFill="1" applyBorder="1"/>
    <xf numFmtId="164" fontId="11" fillId="0" borderId="13" xfId="0" applyNumberFormat="1" applyFont="1" applyFill="1" applyBorder="1"/>
    <xf numFmtId="0" fontId="12" fillId="0" borderId="0" xfId="0" applyFont="1" applyFill="1" applyBorder="1" applyAlignment="1">
      <alignment vertical="center"/>
    </xf>
    <xf numFmtId="0" fontId="9" fillId="4" borderId="5" xfId="0" applyFont="1" applyFill="1" applyBorder="1" applyAlignment="1">
      <alignment horizontal="centerContinuous" vertical="center" wrapText="1"/>
    </xf>
    <xf numFmtId="0" fontId="9" fillId="4" borderId="6" xfId="0" applyFont="1" applyFill="1" applyBorder="1" applyAlignment="1">
      <alignment horizontal="centerContinuous" vertical="center" wrapText="1"/>
    </xf>
    <xf numFmtId="0" fontId="9" fillId="4" borderId="7" xfId="0" applyFont="1" applyFill="1" applyBorder="1" applyAlignment="1">
      <alignment horizontal="centerContinuous" vertical="center" wrapText="1"/>
    </xf>
    <xf numFmtId="0" fontId="7" fillId="6" borderId="12" xfId="0" applyFont="1" applyFill="1" applyBorder="1" applyAlignment="1">
      <alignment horizontal="center"/>
    </xf>
    <xf numFmtId="9" fontId="11" fillId="0" borderId="0" xfId="1" applyFont="1" applyFill="1" applyBorder="1" applyAlignment="1">
      <alignment horizontal="center"/>
    </xf>
    <xf numFmtId="9" fontId="11" fillId="0" borderId="4" xfId="1" applyFont="1" applyFill="1" applyBorder="1" applyAlignment="1">
      <alignment horizontal="center"/>
    </xf>
    <xf numFmtId="0" fontId="14" fillId="0" borderId="0" xfId="0" applyFont="1" applyFill="1" applyBorder="1" applyAlignment="1">
      <alignment horizontal="left" vertical="top" wrapText="1"/>
    </xf>
    <xf numFmtId="0" fontId="12" fillId="0" borderId="0" xfId="0" applyFont="1" applyFill="1" applyBorder="1" applyAlignment="1">
      <alignment horizontal="left" vertical="center"/>
    </xf>
    <xf numFmtId="0" fontId="16" fillId="0" borderId="0" xfId="0" applyFont="1" applyFill="1" applyBorder="1" applyAlignment="1">
      <alignment horizontal="left" vertical="top" wrapText="1"/>
    </xf>
    <xf numFmtId="3" fontId="11" fillId="0" borderId="0" xfId="0" quotePrefix="1" applyNumberFormat="1" applyFont="1" applyFill="1" applyBorder="1"/>
    <xf numFmtId="9" fontId="11" fillId="0" borderId="0" xfId="1" quotePrefix="1" applyFont="1" applyFill="1" applyBorder="1" applyAlignment="1">
      <alignment horizontal="center"/>
    </xf>
    <xf numFmtId="9" fontId="11" fillId="0" borderId="4" xfId="1" quotePrefix="1" applyFont="1" applyFill="1" applyBorder="1" applyAlignment="1">
      <alignment horizontal="center"/>
    </xf>
    <xf numFmtId="0" fontId="15" fillId="10" borderId="0" xfId="0" applyFont="1" applyFill="1" applyBorder="1" applyAlignment="1">
      <alignment horizontal="left" vertical="top" wrapText="1"/>
    </xf>
    <xf numFmtId="0" fontId="7" fillId="6" borderId="12" xfId="0" applyFont="1" applyFill="1" applyBorder="1" applyAlignment="1">
      <alignment horizontal="center"/>
    </xf>
    <xf numFmtId="0" fontId="7" fillId="6" borderId="4" xfId="0" applyFont="1" applyFill="1" applyBorder="1" applyAlignment="1">
      <alignment horizontal="center"/>
    </xf>
    <xf numFmtId="3" fontId="11" fillId="0" borderId="13" xfId="0" applyNumberFormat="1" applyFont="1" applyFill="1" applyBorder="1"/>
    <xf numFmtId="9" fontId="11" fillId="0" borderId="0" xfId="0" quotePrefix="1" applyNumberFormat="1" applyFont="1" applyFill="1" applyBorder="1" applyAlignment="1">
      <alignment horizontal="center"/>
    </xf>
    <xf numFmtId="9" fontId="11" fillId="0" borderId="4" xfId="0" quotePrefix="1" applyNumberFormat="1" applyFont="1" applyFill="1" applyBorder="1" applyAlignment="1">
      <alignment horizontal="center"/>
    </xf>
    <xf numFmtId="9" fontId="11" fillId="0" borderId="0" xfId="0" applyNumberFormat="1" applyFont="1" applyFill="1" applyBorder="1" applyAlignment="1">
      <alignment horizontal="center"/>
    </xf>
    <xf numFmtId="9" fontId="11" fillId="0" borderId="4" xfId="0" applyNumberFormat="1" applyFont="1" applyFill="1" applyBorder="1" applyAlignment="1">
      <alignment horizontal="center"/>
    </xf>
    <xf numFmtId="164" fontId="11" fillId="0" borderId="6" xfId="0" applyNumberFormat="1" applyFont="1" applyFill="1" applyBorder="1"/>
    <xf numFmtId="164" fontId="11" fillId="0" borderId="0" xfId="0" applyNumberFormat="1" applyFont="1"/>
    <xf numFmtId="0" fontId="12" fillId="0" borderId="0" xfId="0" applyFont="1" applyFill="1" applyBorder="1" applyAlignment="1">
      <alignment horizontal="left" vertical="top" wrapText="1"/>
    </xf>
    <xf numFmtId="0" fontId="7" fillId="6" borderId="12" xfId="0" applyFont="1" applyFill="1" applyBorder="1" applyAlignment="1">
      <alignment horizontal="center"/>
    </xf>
    <xf numFmtId="0" fontId="7" fillId="6" borderId="4" xfId="0" applyFont="1" applyFill="1" applyBorder="1" applyAlignment="1">
      <alignment horizontal="center"/>
    </xf>
    <xf numFmtId="0" fontId="7" fillId="6" borderId="4" xfId="0" applyFont="1" applyFill="1" applyBorder="1" applyAlignment="1">
      <alignment horizontal="center"/>
    </xf>
    <xf numFmtId="3" fontId="11" fillId="0" borderId="12" xfId="0" applyNumberFormat="1" applyFont="1" applyFill="1" applyBorder="1"/>
    <xf numFmtId="3" fontId="11" fillId="0" borderId="4" xfId="0" applyNumberFormat="1" applyFont="1" applyFill="1" applyBorder="1"/>
    <xf numFmtId="3" fontId="11" fillId="0" borderId="6" xfId="0" applyNumberFormat="1" applyFont="1" applyFill="1" applyBorder="1"/>
    <xf numFmtId="164" fontId="11" fillId="0" borderId="7" xfId="0" applyNumberFormat="1" applyFont="1" applyFill="1" applyBorder="1"/>
    <xf numFmtId="3" fontId="10" fillId="0" borderId="4" xfId="0" applyNumberFormat="1" applyFont="1" applyFill="1" applyBorder="1"/>
    <xf numFmtId="164" fontId="19" fillId="11" borderId="0" xfId="0" applyNumberFormat="1" applyFont="1" applyFill="1"/>
    <xf numFmtId="9" fontId="11" fillId="0" borderId="9" xfId="1" applyFont="1" applyBorder="1" applyAlignment="1">
      <alignment horizontal="center"/>
    </xf>
    <xf numFmtId="9" fontId="11" fillId="0" borderId="10" xfId="1" applyFont="1" applyBorder="1" applyAlignment="1">
      <alignment horizontal="center"/>
    </xf>
    <xf numFmtId="9" fontId="11" fillId="0" borderId="0" xfId="1" applyFont="1" applyBorder="1" applyAlignment="1">
      <alignment horizontal="center"/>
    </xf>
    <xf numFmtId="9" fontId="11" fillId="0" borderId="12" xfId="1" applyFont="1" applyBorder="1" applyAlignment="1">
      <alignment horizontal="center"/>
    </xf>
    <xf numFmtId="9" fontId="11" fillId="0" borderId="13" xfId="1" applyFont="1" applyBorder="1" applyAlignment="1">
      <alignment horizontal="center"/>
    </xf>
    <xf numFmtId="9" fontId="11" fillId="0" borderId="9" xfId="1" applyFont="1" applyBorder="1" applyAlignment="1">
      <alignment horizontal="center" vertical="center"/>
    </xf>
    <xf numFmtId="9" fontId="11" fillId="0" borderId="10" xfId="1" applyFont="1" applyBorder="1" applyAlignment="1">
      <alignment horizontal="center" vertical="center"/>
    </xf>
    <xf numFmtId="164" fontId="11" fillId="0" borderId="9" xfId="0" applyNumberFormat="1" applyFont="1" applyFill="1" applyBorder="1"/>
    <xf numFmtId="164" fontId="11" fillId="0" borderId="0" xfId="0" applyNumberFormat="1" applyFont="1" applyFill="1" applyBorder="1"/>
    <xf numFmtId="164" fontId="11" fillId="0" borderId="10" xfId="0" applyNumberFormat="1" applyFont="1" applyFill="1" applyBorder="1"/>
    <xf numFmtId="164" fontId="11" fillId="0" borderId="12" xfId="0" applyNumberFormat="1" applyFont="1" applyFill="1" applyBorder="1"/>
    <xf numFmtId="164" fontId="11" fillId="0" borderId="4" xfId="0" applyNumberFormat="1" applyFont="1" applyFill="1" applyBorder="1"/>
    <xf numFmtId="164" fontId="11" fillId="0" borderId="13" xfId="0" applyNumberFormat="1" applyFont="1" applyFill="1" applyBorder="1"/>
    <xf numFmtId="0" fontId="12" fillId="0" borderId="0" xfId="0" applyFont="1" applyFill="1" applyBorder="1" applyAlignment="1">
      <alignment vertical="center"/>
    </xf>
    <xf numFmtId="0" fontId="12" fillId="0" borderId="0" xfId="0" applyFont="1" applyFill="1" applyBorder="1" applyAlignment="1">
      <alignment vertical="top"/>
    </xf>
    <xf numFmtId="164" fontId="11" fillId="0" borderId="15" xfId="0" applyNumberFormat="1" applyFont="1" applyFill="1" applyBorder="1"/>
    <xf numFmtId="164" fontId="11" fillId="0" borderId="17" xfId="0" applyNumberFormat="1" applyFont="1" applyFill="1" applyBorder="1"/>
    <xf numFmtId="0" fontId="0" fillId="0" borderId="0" xfId="0" applyBorder="1"/>
    <xf numFmtId="0" fontId="14" fillId="0" borderId="0" xfId="0" applyFont="1" applyFill="1" applyBorder="1" applyAlignment="1">
      <alignment horizontal="justify" vertical="top" wrapText="1"/>
    </xf>
    <xf numFmtId="9" fontId="0" fillId="0" borderId="0" xfId="1" applyFont="1"/>
    <xf numFmtId="3" fontId="0" fillId="0" borderId="0" xfId="0" applyNumberFormat="1"/>
    <xf numFmtId="0" fontId="12" fillId="0" borderId="0" xfId="0" applyFont="1" applyFill="1" applyBorder="1" applyAlignment="1">
      <alignment horizontal="left" vertical="top" wrapText="1"/>
    </xf>
    <xf numFmtId="164" fontId="22" fillId="0" borderId="0" xfId="0" applyNumberFormat="1" applyFont="1" applyFill="1" applyBorder="1" applyAlignment="1">
      <alignment horizontal="center"/>
    </xf>
    <xf numFmtId="0" fontId="9" fillId="3" borderId="11" xfId="0" applyFont="1" applyFill="1" applyBorder="1" applyAlignment="1">
      <alignment vertical="top" wrapText="1"/>
    </xf>
    <xf numFmtId="0" fontId="9" fillId="3" borderId="18" xfId="0" applyFont="1" applyFill="1" applyBorder="1" applyAlignment="1">
      <alignment vertical="top" wrapText="1"/>
    </xf>
    <xf numFmtId="9" fontId="11" fillId="0" borderId="12" xfId="1" applyFont="1" applyBorder="1" applyAlignment="1">
      <alignment horizontal="center" vertical="center"/>
    </xf>
    <xf numFmtId="9" fontId="11" fillId="0" borderId="13" xfId="1" applyFont="1" applyBorder="1" applyAlignment="1">
      <alignment horizontal="center" vertical="center"/>
    </xf>
    <xf numFmtId="164" fontId="19" fillId="11" borderId="4" xfId="0" applyNumberFormat="1" applyFont="1" applyFill="1" applyBorder="1"/>
    <xf numFmtId="164" fontId="22" fillId="0" borderId="12" xfId="0" applyNumberFormat="1" applyFont="1" applyFill="1" applyBorder="1" applyAlignment="1">
      <alignment horizontal="center"/>
    </xf>
    <xf numFmtId="0" fontId="9" fillId="3" borderId="11" xfId="0" quotePrefix="1" applyFont="1" applyFill="1" applyBorder="1" applyAlignment="1">
      <alignment vertical="top" wrapText="1"/>
    </xf>
    <xf numFmtId="164" fontId="11" fillId="0" borderId="5" xfId="0" applyNumberFormat="1" applyFont="1" applyFill="1" applyBorder="1"/>
    <xf numFmtId="164" fontId="0" fillId="0" borderId="0" xfId="1" applyNumberFormat="1" applyFont="1"/>
    <xf numFmtId="9" fontId="11" fillId="0" borderId="0" xfId="1" applyFont="1" applyFill="1" applyBorder="1"/>
    <xf numFmtId="0" fontId="2" fillId="2" borderId="4" xfId="0" applyFont="1" applyFill="1" applyBorder="1" applyAlignment="1">
      <alignment horizontal="center" vertical="center"/>
    </xf>
    <xf numFmtId="0" fontId="12" fillId="0" borderId="0" xfId="0" applyFont="1" applyFill="1" applyBorder="1" applyAlignment="1">
      <alignment horizontal="left" vertical="top" wrapText="1"/>
    </xf>
    <xf numFmtId="0" fontId="2" fillId="2" borderId="0" xfId="0" applyFont="1" applyFill="1" applyBorder="1" applyAlignment="1">
      <alignment horizontal="center" vertical="center"/>
    </xf>
    <xf numFmtId="0" fontId="15" fillId="7" borderId="40" xfId="0" applyFont="1" applyFill="1" applyBorder="1" applyAlignment="1">
      <alignment horizontal="left" vertical="top" wrapText="1"/>
    </xf>
    <xf numFmtId="0" fontId="15" fillId="7" borderId="31" xfId="0" applyFont="1" applyFill="1" applyBorder="1" applyAlignment="1">
      <alignment horizontal="left" vertical="top" wrapText="1"/>
    </xf>
    <xf numFmtId="0" fontId="15" fillId="7" borderId="41"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36" xfId="0" applyFont="1" applyFill="1" applyBorder="1" applyAlignment="1">
      <alignment horizontal="left" vertical="top" wrapText="1"/>
    </xf>
    <xf numFmtId="0" fontId="15" fillId="7" borderId="43" xfId="0" applyFont="1" applyFill="1" applyBorder="1" applyAlignment="1">
      <alignment horizontal="left" vertical="top" wrapText="1"/>
    </xf>
    <xf numFmtId="0" fontId="15" fillId="7" borderId="38" xfId="0" applyFont="1" applyFill="1" applyBorder="1" applyAlignment="1">
      <alignment horizontal="left" vertical="top" wrapText="1"/>
    </xf>
    <xf numFmtId="0" fontId="15" fillId="7" borderId="39" xfId="0" applyFont="1" applyFill="1" applyBorder="1" applyAlignment="1">
      <alignment horizontal="left" vertical="top"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5" fillId="7" borderId="30" xfId="0" applyFont="1" applyFill="1" applyBorder="1" applyAlignment="1">
      <alignment horizontal="left" vertical="top" wrapText="1"/>
    </xf>
    <xf numFmtId="0" fontId="15" fillId="7" borderId="32" xfId="0" applyFont="1" applyFill="1" applyBorder="1" applyAlignment="1">
      <alignment horizontal="left" vertical="top" wrapText="1"/>
    </xf>
    <xf numFmtId="0" fontId="15" fillId="7" borderId="28" xfId="0" applyFont="1" applyFill="1" applyBorder="1" applyAlignment="1">
      <alignment horizontal="left" vertical="top" wrapText="1"/>
    </xf>
    <xf numFmtId="0" fontId="15" fillId="7" borderId="23" xfId="0" applyFont="1" applyFill="1" applyBorder="1" applyAlignment="1">
      <alignment horizontal="left" vertical="top" wrapText="1"/>
    </xf>
    <xf numFmtId="0" fontId="15" fillId="7" borderId="29" xfId="0" applyFont="1" applyFill="1" applyBorder="1" applyAlignment="1">
      <alignment horizontal="left" vertical="top" wrapText="1"/>
    </xf>
    <xf numFmtId="0" fontId="15" fillId="7" borderId="25" xfId="0" applyFont="1" applyFill="1" applyBorder="1" applyAlignment="1">
      <alignment horizontal="left" vertical="top" wrapText="1"/>
    </xf>
    <xf numFmtId="0" fontId="15" fillId="7" borderId="26"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7" fillId="6" borderId="12" xfId="0" applyFont="1" applyFill="1" applyBorder="1" applyAlignment="1">
      <alignment horizontal="center"/>
    </xf>
    <xf numFmtId="0" fontId="7" fillId="6" borderId="4" xfId="0" applyFont="1" applyFill="1" applyBorder="1" applyAlignment="1">
      <alignment horizontal="center"/>
    </xf>
    <xf numFmtId="0" fontId="14" fillId="7" borderId="19" xfId="0" applyFont="1" applyFill="1" applyBorder="1" applyAlignment="1">
      <alignment horizontal="justify" vertical="top" wrapText="1"/>
    </xf>
    <xf numFmtId="0" fontId="14" fillId="7" borderId="20" xfId="0" applyFont="1" applyFill="1" applyBorder="1" applyAlignment="1">
      <alignment horizontal="justify" vertical="top" wrapText="1"/>
    </xf>
    <xf numFmtId="0" fontId="14" fillId="7" borderId="21" xfId="0" applyFont="1" applyFill="1" applyBorder="1" applyAlignment="1">
      <alignment horizontal="justify" vertical="top" wrapText="1"/>
    </xf>
    <xf numFmtId="0" fontId="14" fillId="7" borderId="22" xfId="0" applyFont="1" applyFill="1" applyBorder="1" applyAlignment="1">
      <alignment horizontal="justify" vertical="top" wrapText="1"/>
    </xf>
    <xf numFmtId="0" fontId="14" fillId="7" borderId="0" xfId="0" applyFont="1" applyFill="1" applyBorder="1" applyAlignment="1">
      <alignment horizontal="justify" vertical="top" wrapText="1"/>
    </xf>
    <xf numFmtId="0" fontId="14" fillId="7" borderId="23" xfId="0" applyFont="1" applyFill="1" applyBorder="1" applyAlignment="1">
      <alignment horizontal="justify" vertical="top" wrapText="1"/>
    </xf>
    <xf numFmtId="0" fontId="14" fillId="7" borderId="24" xfId="0" applyFont="1" applyFill="1" applyBorder="1" applyAlignment="1">
      <alignment horizontal="justify" vertical="top" wrapText="1"/>
    </xf>
    <xf numFmtId="0" fontId="14" fillId="7" borderId="25" xfId="0" applyFont="1" applyFill="1" applyBorder="1" applyAlignment="1">
      <alignment horizontal="justify" vertical="top" wrapText="1"/>
    </xf>
    <xf numFmtId="0" fontId="14" fillId="7" borderId="26" xfId="0" applyFont="1" applyFill="1" applyBorder="1" applyAlignment="1">
      <alignment horizontal="justify" vertical="top" wrapText="1"/>
    </xf>
    <xf numFmtId="0" fontId="9" fillId="6" borderId="9" xfId="0" applyFont="1" applyFill="1" applyBorder="1" applyAlignment="1">
      <alignment horizontal="center"/>
    </xf>
    <xf numFmtId="0" fontId="9" fillId="6" borderId="0" xfId="0" applyFont="1" applyFill="1" applyBorder="1" applyAlignment="1">
      <alignment horizontal="center"/>
    </xf>
    <xf numFmtId="0" fontId="9" fillId="6" borderId="10" xfId="0" applyFont="1" applyFill="1" applyBorder="1" applyAlignment="1">
      <alignment horizont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9" fillId="5" borderId="9" xfId="0" applyFont="1" applyFill="1" applyBorder="1" applyAlignment="1">
      <alignment horizontal="center"/>
    </xf>
    <xf numFmtId="0" fontId="9" fillId="5" borderId="0" xfId="0" applyFont="1" applyFill="1" applyBorder="1" applyAlignment="1">
      <alignment horizontal="center"/>
    </xf>
    <xf numFmtId="0" fontId="9" fillId="5" borderId="10" xfId="0" applyFont="1" applyFill="1" applyBorder="1" applyAlignment="1">
      <alignment horizontal="center"/>
    </xf>
    <xf numFmtId="0" fontId="9"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applyFont="1" applyFill="1" applyBorder="1" applyAlignment="1">
      <alignment horizontal="center" vertical="top" wrapText="1"/>
    </xf>
    <xf numFmtId="0" fontId="14" fillId="7" borderId="44" xfId="0" applyFont="1" applyFill="1" applyBorder="1" applyAlignment="1">
      <alignment horizontal="left" vertical="top" wrapText="1"/>
    </xf>
    <xf numFmtId="0" fontId="14" fillId="7" borderId="20" xfId="0" applyFont="1" applyFill="1" applyBorder="1" applyAlignment="1">
      <alignment horizontal="left" vertical="top" wrapText="1"/>
    </xf>
    <xf numFmtId="0" fontId="14" fillId="7" borderId="45" xfId="0" applyFont="1" applyFill="1" applyBorder="1" applyAlignment="1">
      <alignment horizontal="left" vertical="top" wrapText="1"/>
    </xf>
    <xf numFmtId="0" fontId="14" fillId="7" borderId="46"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47" xfId="0" applyFont="1" applyFill="1" applyBorder="1" applyAlignment="1">
      <alignment horizontal="left" vertical="top" wrapText="1"/>
    </xf>
    <xf numFmtId="0" fontId="14" fillId="7" borderId="48" xfId="0" applyFont="1" applyFill="1" applyBorder="1" applyAlignment="1">
      <alignment horizontal="left" vertical="top" wrapText="1"/>
    </xf>
    <xf numFmtId="0" fontId="14" fillId="7" borderId="49" xfId="0" applyFont="1" applyFill="1" applyBorder="1" applyAlignment="1">
      <alignment horizontal="left" vertical="top" wrapText="1"/>
    </xf>
    <xf numFmtId="0" fontId="14" fillId="7" borderId="50" xfId="0" applyFont="1" applyFill="1" applyBorder="1" applyAlignment="1">
      <alignment horizontal="left" vertical="top" wrapText="1"/>
    </xf>
    <xf numFmtId="0" fontId="15" fillId="7" borderId="52" xfId="0" applyFont="1" applyFill="1" applyBorder="1" applyAlignment="1">
      <alignment horizontal="left" vertical="top" wrapText="1"/>
    </xf>
    <xf numFmtId="0" fontId="15" fillId="7" borderId="51" xfId="0" applyFont="1" applyFill="1" applyBorder="1" applyAlignment="1">
      <alignment horizontal="left" vertical="top" wrapText="1"/>
    </xf>
    <xf numFmtId="0" fontId="15" fillId="7" borderId="53" xfId="0" applyFont="1" applyFill="1" applyBorder="1" applyAlignment="1">
      <alignment horizontal="left" vertical="top" wrapText="1"/>
    </xf>
    <xf numFmtId="0" fontId="15" fillId="7" borderId="54" xfId="0" applyFont="1" applyFill="1" applyBorder="1" applyAlignment="1">
      <alignment horizontal="left" vertical="top" wrapText="1"/>
    </xf>
    <xf numFmtId="0" fontId="15" fillId="7" borderId="55" xfId="0" applyFont="1" applyFill="1" applyBorder="1" applyAlignment="1">
      <alignment horizontal="left" vertical="top" wrapText="1"/>
    </xf>
    <xf numFmtId="0" fontId="15" fillId="7" borderId="56" xfId="0" applyFont="1" applyFill="1" applyBorder="1" applyAlignment="1">
      <alignment horizontal="left" vertical="top" wrapText="1"/>
    </xf>
    <xf numFmtId="0" fontId="15" fillId="7" borderId="57" xfId="0" applyFont="1" applyFill="1" applyBorder="1" applyAlignment="1">
      <alignment horizontal="left" vertical="top" wrapText="1"/>
    </xf>
    <xf numFmtId="0" fontId="15" fillId="7" borderId="58" xfId="0" applyFont="1" applyFill="1" applyBorder="1" applyAlignment="1">
      <alignment horizontal="left" vertical="top" wrapText="1"/>
    </xf>
    <xf numFmtId="0" fontId="15" fillId="7" borderId="27" xfId="0" applyFont="1" applyFill="1" applyBorder="1" applyAlignment="1">
      <alignment horizontal="left" vertical="top" wrapText="1"/>
    </xf>
    <xf numFmtId="0" fontId="15" fillId="7" borderId="20" xfId="0" applyFont="1" applyFill="1" applyBorder="1" applyAlignment="1">
      <alignment horizontal="left" vertical="top" wrapText="1"/>
    </xf>
    <xf numFmtId="0" fontId="15" fillId="7" borderId="21" xfId="0" applyFont="1" applyFill="1" applyBorder="1" applyAlignment="1">
      <alignment horizontal="left" vertical="top" wrapText="1"/>
    </xf>
    <xf numFmtId="0" fontId="15" fillId="7" borderId="33" xfId="0" applyFont="1" applyFill="1" applyBorder="1" applyAlignment="1">
      <alignment horizontal="left" vertical="top" wrapText="1"/>
    </xf>
    <xf numFmtId="0" fontId="15" fillId="7" borderId="34" xfId="0" applyFont="1" applyFill="1" applyBorder="1" applyAlignment="1">
      <alignment horizontal="left" vertical="top" wrapText="1"/>
    </xf>
    <xf numFmtId="0" fontId="15" fillId="7" borderId="35" xfId="0" applyFont="1" applyFill="1" applyBorder="1" applyAlignment="1">
      <alignment horizontal="left" vertical="top" wrapText="1"/>
    </xf>
    <xf numFmtId="0" fontId="15" fillId="7" borderId="22" xfId="0" applyFont="1" applyFill="1" applyBorder="1" applyAlignment="1">
      <alignment horizontal="left" vertical="top" wrapText="1"/>
    </xf>
    <xf numFmtId="0" fontId="15" fillId="7" borderId="37" xfId="0" applyFont="1" applyFill="1" applyBorder="1" applyAlignment="1">
      <alignment horizontal="left" vertical="top" wrapText="1"/>
    </xf>
    <xf numFmtId="0" fontId="15" fillId="7" borderId="59" xfId="0" applyFont="1" applyFill="1" applyBorder="1" applyAlignment="1">
      <alignment horizontal="left" vertical="top" wrapText="1"/>
    </xf>
    <xf numFmtId="0" fontId="15" fillId="7" borderId="60" xfId="0" applyFont="1" applyFill="1" applyBorder="1" applyAlignment="1">
      <alignment horizontal="left" vertical="top" wrapText="1"/>
    </xf>
    <xf numFmtId="0" fontId="15" fillId="7" borderId="61" xfId="0" applyFont="1" applyFill="1" applyBorder="1" applyAlignment="1">
      <alignment horizontal="left" vertical="top" wrapText="1"/>
    </xf>
    <xf numFmtId="0" fontId="15" fillId="7" borderId="62" xfId="0" applyFont="1" applyFill="1" applyBorder="1" applyAlignment="1">
      <alignment horizontal="left" vertical="top" wrapText="1"/>
    </xf>
    <xf numFmtId="0" fontId="15" fillId="7" borderId="63" xfId="0" applyFont="1" applyFill="1" applyBorder="1" applyAlignment="1">
      <alignment horizontal="left" vertical="top" wrapText="1"/>
    </xf>
    <xf numFmtId="0" fontId="15" fillId="7" borderId="64"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330200</xdr:colOff>
      <xdr:row>3</xdr:row>
      <xdr:rowOff>120650</xdr:rowOff>
    </xdr:to>
    <xdr:pic>
      <xdr:nvPicPr>
        <xdr:cNvPr id="4" name="Image 1" descr="cid:image003.png@01D9454F.A20EEB8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57200" y="0"/>
          <a:ext cx="1695450" cy="79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EPES\10%20Travail\Sant&#233;%20au%20travail\PRST4\Donn&#233;es%20DARES\AT\ARA_eff_age_2016.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SEPES\10%20Travail\Sant&#233;%20au%20travail\PRST4\Donn&#233;es%20DARES\AT\ARA_eff_age_2019.xlsx" TargetMode="External"/><Relationship Id="rId1" Type="http://schemas.openxmlformats.org/officeDocument/2006/relationships/externalLinkPath" Target="file:///S:\SEPES\10%20Travail\Sant&#233;%20au%20travail\PRST4\Donn&#233;es%20DARES\AT\ARA_eff_age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EPES\10%20Travail\Sant&#233;%20au%20travail\PRST4\Donn&#233;es%20RP\Actualisation%20PRST%20-%20Donn&#233;es%20R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EPES\10%20Travail\Sant&#233;%20au%20travail\PRST4\Donn&#233;es%20DARES\AT\ARA_eff_age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EPES\10%20Travail\Sant&#233;%20au%20travail\PRST4\Donn&#233;es%20DARES\AT\ARA_eff_age_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EPES\10%20Travail\Sant&#233;%20au%20travail\PRST4\Donn&#233;es%20DARES\AT\ARA_eff_age_2019.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A_eff_age_2016"/>
    </sheetNames>
    <sheetDataSet>
      <sheetData sheetId="0">
        <row r="7">
          <cell r="B7">
            <v>2424</v>
          </cell>
          <cell r="C7">
            <v>762</v>
          </cell>
          <cell r="F7">
            <v>731</v>
          </cell>
          <cell r="G7">
            <v>126</v>
          </cell>
          <cell r="H7">
            <v>857</v>
          </cell>
        </row>
        <row r="9">
          <cell r="B9">
            <v>16261</v>
          </cell>
          <cell r="C9">
            <v>8527</v>
          </cell>
          <cell r="F9">
            <v>5521</v>
          </cell>
          <cell r="G9">
            <v>1507</v>
          </cell>
          <cell r="H9">
            <v>7028</v>
          </cell>
        </row>
        <row r="10">
          <cell r="B10">
            <v>15232</v>
          </cell>
          <cell r="C10">
            <v>6447</v>
          </cell>
          <cell r="F10">
            <v>9029</v>
          </cell>
          <cell r="G10">
            <v>2849</v>
          </cell>
          <cell r="H10">
            <v>11878</v>
          </cell>
        </row>
        <row r="11">
          <cell r="B11">
            <v>12923</v>
          </cell>
          <cell r="C11">
            <v>6750</v>
          </cell>
          <cell r="F11">
            <v>12587</v>
          </cell>
          <cell r="G11">
            <v>4884</v>
          </cell>
          <cell r="H11">
            <v>17471</v>
          </cell>
        </row>
        <row r="12">
          <cell r="B12">
            <v>9820</v>
          </cell>
          <cell r="C12">
            <v>6012</v>
          </cell>
          <cell r="F12">
            <v>16065</v>
          </cell>
          <cell r="G12">
            <v>6014</v>
          </cell>
          <cell r="H12">
            <v>22079</v>
          </cell>
        </row>
        <row r="13">
          <cell r="B13">
            <v>1176</v>
          </cell>
          <cell r="C13">
            <v>1031</v>
          </cell>
          <cell r="F13">
            <v>2858</v>
          </cell>
          <cell r="G13">
            <v>1010</v>
          </cell>
          <cell r="H13">
            <v>3868</v>
          </cell>
        </row>
        <row r="14">
          <cell r="F14">
            <v>46791</v>
          </cell>
          <cell r="H14">
            <v>63181</v>
          </cell>
        </row>
        <row r="25">
          <cell r="B25">
            <v>46522942</v>
          </cell>
          <cell r="D25">
            <v>22007182</v>
          </cell>
          <cell r="F25">
            <v>68530124</v>
          </cell>
        </row>
        <row r="27">
          <cell r="B27">
            <v>471032788</v>
          </cell>
          <cell r="D27">
            <v>351484009</v>
          </cell>
          <cell r="F27">
            <v>822516797</v>
          </cell>
        </row>
        <row r="28">
          <cell r="B28">
            <v>569379988</v>
          </cell>
          <cell r="D28">
            <v>386870929</v>
          </cell>
          <cell r="F28">
            <v>956250917</v>
          </cell>
        </row>
        <row r="29">
          <cell r="B29">
            <v>570586407</v>
          </cell>
          <cell r="D29">
            <v>404035704</v>
          </cell>
          <cell r="F29">
            <v>974622111</v>
          </cell>
        </row>
        <row r="30">
          <cell r="B30">
            <v>493489944</v>
          </cell>
          <cell r="D30">
            <v>351201794</v>
          </cell>
          <cell r="F30">
            <v>844691738</v>
          </cell>
        </row>
        <row r="31">
          <cell r="B31">
            <v>81945020.700000003</v>
          </cell>
          <cell r="D31">
            <v>65332586.899999999</v>
          </cell>
          <cell r="F31">
            <v>147277607.59999999</v>
          </cell>
        </row>
        <row r="32">
          <cell r="B32">
            <v>2232957090</v>
          </cell>
          <cell r="D32">
            <v>1580932204</v>
          </cell>
          <cell r="F32">
            <v>3813889294</v>
          </cell>
        </row>
        <row r="108">
          <cell r="B108">
            <v>159</v>
          </cell>
          <cell r="C108">
            <v>17</v>
          </cell>
          <cell r="F108">
            <v>53</v>
          </cell>
          <cell r="G108">
            <v>0</v>
          </cell>
          <cell r="H108">
            <v>53</v>
          </cell>
        </row>
        <row r="109">
          <cell r="B109">
            <v>188</v>
          </cell>
          <cell r="C109">
            <v>12</v>
          </cell>
          <cell r="F109">
            <v>314</v>
          </cell>
          <cell r="H109">
            <v>321</v>
          </cell>
        </row>
        <row r="112">
          <cell r="B112">
            <v>643</v>
          </cell>
          <cell r="C112">
            <v>58</v>
          </cell>
          <cell r="F112">
            <v>735</v>
          </cell>
          <cell r="G112">
            <v>27</v>
          </cell>
          <cell r="H112">
            <v>762</v>
          </cell>
        </row>
        <row r="148">
          <cell r="B148">
            <v>1308</v>
          </cell>
          <cell r="C148">
            <v>141</v>
          </cell>
          <cell r="F148">
            <v>1100</v>
          </cell>
          <cell r="G148">
            <v>94</v>
          </cell>
          <cell r="H148">
            <v>1194</v>
          </cell>
        </row>
        <row r="149">
          <cell r="B149">
            <v>1408</v>
          </cell>
          <cell r="C149">
            <v>172</v>
          </cell>
          <cell r="F149">
            <v>1903</v>
          </cell>
          <cell r="G149">
            <v>183</v>
          </cell>
          <cell r="H149">
            <v>2086</v>
          </cell>
        </row>
        <row r="150">
          <cell r="B150">
            <v>1140</v>
          </cell>
          <cell r="C150">
            <v>129</v>
          </cell>
          <cell r="F150">
            <v>2664</v>
          </cell>
          <cell r="G150">
            <v>129</v>
          </cell>
          <cell r="H150">
            <v>2793</v>
          </cell>
        </row>
        <row r="151">
          <cell r="B151">
            <v>163</v>
          </cell>
          <cell r="C151">
            <v>15</v>
          </cell>
          <cell r="F151">
            <v>244</v>
          </cell>
          <cell r="G151">
            <v>20</v>
          </cell>
          <cell r="H151">
            <v>264</v>
          </cell>
        </row>
        <row r="152">
          <cell r="F152">
            <v>6189</v>
          </cell>
          <cell r="G152">
            <v>439</v>
          </cell>
          <cell r="H152">
            <v>6628</v>
          </cell>
        </row>
        <row r="168">
          <cell r="B168">
            <v>544</v>
          </cell>
          <cell r="C168">
            <v>115</v>
          </cell>
          <cell r="F168">
            <v>323</v>
          </cell>
          <cell r="G168">
            <v>53</v>
          </cell>
          <cell r="H168">
            <v>376</v>
          </cell>
        </row>
        <row r="169">
          <cell r="B169">
            <v>411</v>
          </cell>
          <cell r="C169">
            <v>90</v>
          </cell>
          <cell r="F169">
            <v>297</v>
          </cell>
          <cell r="G169">
            <v>96</v>
          </cell>
          <cell r="H169">
            <v>393</v>
          </cell>
        </row>
        <row r="170">
          <cell r="B170">
            <v>264</v>
          </cell>
          <cell r="C170">
            <v>64</v>
          </cell>
          <cell r="F170">
            <v>251</v>
          </cell>
          <cell r="G170">
            <v>29</v>
          </cell>
          <cell r="H170">
            <v>280</v>
          </cell>
        </row>
        <row r="171">
          <cell r="B171">
            <v>26</v>
          </cell>
          <cell r="C171">
            <v>7</v>
          </cell>
          <cell r="F171">
            <v>15</v>
          </cell>
          <cell r="G171">
            <v>5</v>
          </cell>
          <cell r="H171">
            <v>20</v>
          </cell>
        </row>
        <row r="172">
          <cell r="F172">
            <v>970</v>
          </cell>
          <cell r="G172">
            <v>211</v>
          </cell>
          <cell r="H172">
            <v>1181</v>
          </cell>
        </row>
        <row r="185">
          <cell r="B185">
            <v>217</v>
          </cell>
          <cell r="C185">
            <v>171</v>
          </cell>
          <cell r="F185">
            <v>15</v>
          </cell>
          <cell r="G185">
            <v>32</v>
          </cell>
          <cell r="H185">
            <v>47</v>
          </cell>
        </row>
        <row r="187">
          <cell r="B187">
            <v>826</v>
          </cell>
          <cell r="C187">
            <v>860</v>
          </cell>
          <cell r="F187">
            <v>332</v>
          </cell>
          <cell r="G187">
            <v>99</v>
          </cell>
          <cell r="H187">
            <v>431</v>
          </cell>
        </row>
        <row r="188">
          <cell r="B188">
            <v>408</v>
          </cell>
          <cell r="C188">
            <v>381</v>
          </cell>
          <cell r="F188">
            <v>207</v>
          </cell>
          <cell r="G188">
            <v>157</v>
          </cell>
          <cell r="H188">
            <v>364</v>
          </cell>
        </row>
        <row r="189">
          <cell r="B189">
            <v>286</v>
          </cell>
          <cell r="C189">
            <v>302</v>
          </cell>
          <cell r="F189">
            <v>121</v>
          </cell>
          <cell r="G189">
            <v>254</v>
          </cell>
          <cell r="H189">
            <v>375</v>
          </cell>
        </row>
        <row r="190">
          <cell r="B190">
            <v>184</v>
          </cell>
          <cell r="C190">
            <v>250</v>
          </cell>
          <cell r="F190">
            <v>249</v>
          </cell>
          <cell r="G190">
            <v>181</v>
          </cell>
          <cell r="H190">
            <v>430</v>
          </cell>
        </row>
        <row r="191">
          <cell r="B191">
            <v>21</v>
          </cell>
          <cell r="C191">
            <v>44</v>
          </cell>
          <cell r="F191">
            <v>7</v>
          </cell>
          <cell r="G191">
            <v>28</v>
          </cell>
          <cell r="H191">
            <v>35</v>
          </cell>
        </row>
        <row r="192">
          <cell r="F192">
            <v>931</v>
          </cell>
          <cell r="G192">
            <v>751</v>
          </cell>
          <cell r="H192">
            <v>1682</v>
          </cell>
        </row>
        <row r="205">
          <cell r="F205">
            <v>48</v>
          </cell>
          <cell r="G205">
            <v>5</v>
          </cell>
          <cell r="H205">
            <v>53</v>
          </cell>
        </row>
        <row r="207">
          <cell r="F207">
            <v>701</v>
          </cell>
          <cell r="G207">
            <v>130</v>
          </cell>
          <cell r="H207">
            <v>831</v>
          </cell>
        </row>
        <row r="208">
          <cell r="F208">
            <v>967</v>
          </cell>
          <cell r="G208">
            <v>99</v>
          </cell>
          <cell r="H208">
            <v>1066</v>
          </cell>
        </row>
        <row r="209">
          <cell r="F209">
            <v>1077</v>
          </cell>
          <cell r="G209">
            <v>231</v>
          </cell>
          <cell r="H209">
            <v>1308</v>
          </cell>
        </row>
        <row r="210">
          <cell r="F210">
            <v>493</v>
          </cell>
          <cell r="G210">
            <v>262</v>
          </cell>
          <cell r="H210">
            <v>755</v>
          </cell>
        </row>
        <row r="211">
          <cell r="F211">
            <v>146</v>
          </cell>
          <cell r="H211">
            <v>150</v>
          </cell>
        </row>
        <row r="212">
          <cell r="F212">
            <v>3432</v>
          </cell>
          <cell r="G212">
            <v>731</v>
          </cell>
          <cell r="H212">
            <v>4163</v>
          </cell>
        </row>
        <row r="225">
          <cell r="B225">
            <v>128</v>
          </cell>
          <cell r="C225">
            <v>5</v>
          </cell>
          <cell r="F225">
            <v>25</v>
          </cell>
          <cell r="G225">
            <v>0</v>
          </cell>
          <cell r="H225">
            <v>25</v>
          </cell>
        </row>
        <row r="227">
          <cell r="B227">
            <v>537</v>
          </cell>
          <cell r="C227">
            <v>199</v>
          </cell>
          <cell r="F227">
            <v>178</v>
          </cell>
          <cell r="G227">
            <v>16</v>
          </cell>
          <cell r="H227">
            <v>194</v>
          </cell>
        </row>
        <row r="228">
          <cell r="B228">
            <v>427</v>
          </cell>
          <cell r="C228">
            <v>228</v>
          </cell>
          <cell r="F228">
            <v>336</v>
          </cell>
          <cell r="G228">
            <v>191</v>
          </cell>
          <cell r="H228">
            <v>527</v>
          </cell>
        </row>
        <row r="229">
          <cell r="B229">
            <v>312</v>
          </cell>
          <cell r="C229">
            <v>342</v>
          </cell>
          <cell r="F229">
            <v>297</v>
          </cell>
          <cell r="G229">
            <v>352</v>
          </cell>
          <cell r="H229">
            <v>649</v>
          </cell>
        </row>
        <row r="230">
          <cell r="B230">
            <v>225</v>
          </cell>
          <cell r="C230">
            <v>377</v>
          </cell>
          <cell r="F230">
            <v>299</v>
          </cell>
          <cell r="G230">
            <v>494</v>
          </cell>
          <cell r="H230">
            <v>793</v>
          </cell>
        </row>
        <row r="231">
          <cell r="B231">
            <v>37</v>
          </cell>
          <cell r="C231">
            <v>84</v>
          </cell>
          <cell r="F231">
            <v>109</v>
          </cell>
          <cell r="G231">
            <v>181</v>
          </cell>
          <cell r="H231">
            <v>290</v>
          </cell>
        </row>
        <row r="232">
          <cell r="F232">
            <v>1244</v>
          </cell>
          <cell r="G232">
            <v>1234</v>
          </cell>
          <cell r="H232">
            <v>2478</v>
          </cell>
        </row>
        <row r="265">
          <cell r="B265">
            <v>24</v>
          </cell>
          <cell r="C265">
            <v>47</v>
          </cell>
          <cell r="F265">
            <v>11</v>
          </cell>
          <cell r="G265">
            <v>0</v>
          </cell>
          <cell r="H265">
            <v>11</v>
          </cell>
        </row>
        <row r="267">
          <cell r="B267">
            <v>250</v>
          </cell>
          <cell r="C267">
            <v>930</v>
          </cell>
          <cell r="F267">
            <v>34</v>
          </cell>
          <cell r="G267">
            <v>156</v>
          </cell>
          <cell r="H267">
            <v>190</v>
          </cell>
        </row>
        <row r="268">
          <cell r="B268">
            <v>262</v>
          </cell>
          <cell r="C268">
            <v>778</v>
          </cell>
          <cell r="F268">
            <v>78</v>
          </cell>
          <cell r="G268">
            <v>158</v>
          </cell>
          <cell r="H268">
            <v>236</v>
          </cell>
        </row>
        <row r="269">
          <cell r="B269">
            <v>234</v>
          </cell>
          <cell r="C269">
            <v>922</v>
          </cell>
          <cell r="F269">
            <v>106</v>
          </cell>
          <cell r="G269">
            <v>565</v>
          </cell>
          <cell r="H269">
            <v>671</v>
          </cell>
        </row>
        <row r="270">
          <cell r="B270">
            <v>204</v>
          </cell>
          <cell r="C270">
            <v>938</v>
          </cell>
          <cell r="F270">
            <v>193</v>
          </cell>
          <cell r="G270">
            <v>848</v>
          </cell>
          <cell r="H270">
            <v>1041</v>
          </cell>
        </row>
        <row r="271">
          <cell r="B271">
            <v>24</v>
          </cell>
          <cell r="C271">
            <v>165</v>
          </cell>
          <cell r="F271">
            <v>43</v>
          </cell>
          <cell r="G271">
            <v>119</v>
          </cell>
          <cell r="H271">
            <v>162</v>
          </cell>
        </row>
        <row r="272">
          <cell r="F272">
            <v>465</v>
          </cell>
          <cell r="G272">
            <v>1846</v>
          </cell>
          <cell r="H272">
            <v>2311</v>
          </cell>
        </row>
        <row r="368">
          <cell r="B368">
            <v>3640906</v>
          </cell>
          <cell r="D368">
            <v>1002885</v>
          </cell>
          <cell r="F368">
            <v>4643791</v>
          </cell>
        </row>
        <row r="369">
          <cell r="B369">
            <v>4791535</v>
          </cell>
          <cell r="D369">
            <v>1054156</v>
          </cell>
          <cell r="F369">
            <v>5845691</v>
          </cell>
        </row>
        <row r="372">
          <cell r="B372">
            <v>15373542</v>
          </cell>
          <cell r="D372">
            <v>3591269</v>
          </cell>
          <cell r="F372">
            <v>18964811</v>
          </cell>
        </row>
        <row r="408">
          <cell r="B408">
            <v>28994767</v>
          </cell>
          <cell r="D408">
            <v>5050376</v>
          </cell>
          <cell r="F408">
            <v>34045143</v>
          </cell>
        </row>
        <row r="409">
          <cell r="B409">
            <v>37060181</v>
          </cell>
          <cell r="D409">
            <v>6246274</v>
          </cell>
          <cell r="F409">
            <v>43306455</v>
          </cell>
        </row>
        <row r="410">
          <cell r="B410">
            <v>36661243</v>
          </cell>
          <cell r="D410">
            <v>5541627</v>
          </cell>
          <cell r="F410">
            <v>42202870</v>
          </cell>
        </row>
        <row r="411">
          <cell r="B411">
            <v>7084577</v>
          </cell>
          <cell r="D411">
            <v>1004979</v>
          </cell>
          <cell r="F411">
            <v>8089556</v>
          </cell>
        </row>
        <row r="412">
          <cell r="B412">
            <v>127273971</v>
          </cell>
          <cell r="D412">
            <v>21343515</v>
          </cell>
          <cell r="F412">
            <v>148617486</v>
          </cell>
        </row>
        <row r="428">
          <cell r="B428">
            <v>10575908</v>
          </cell>
          <cell r="D428">
            <v>4512919</v>
          </cell>
          <cell r="F428">
            <v>15088827</v>
          </cell>
        </row>
        <row r="429">
          <cell r="B429">
            <v>11988017</v>
          </cell>
          <cell r="D429">
            <v>4934253</v>
          </cell>
          <cell r="F429">
            <v>16922270</v>
          </cell>
        </row>
        <row r="430">
          <cell r="B430">
            <v>9240619</v>
          </cell>
          <cell r="D430">
            <v>3624695</v>
          </cell>
          <cell r="F430">
            <v>12865314</v>
          </cell>
        </row>
        <row r="431">
          <cell r="B431">
            <v>1070005</v>
          </cell>
          <cell r="D431">
            <v>499468</v>
          </cell>
          <cell r="F431">
            <v>1569473</v>
          </cell>
        </row>
        <row r="432">
          <cell r="B432">
            <v>39756483</v>
          </cell>
          <cell r="D432">
            <v>16702281</v>
          </cell>
          <cell r="F432">
            <v>56458764</v>
          </cell>
        </row>
        <row r="445">
          <cell r="B445">
            <v>4377515</v>
          </cell>
          <cell r="D445">
            <v>3441519</v>
          </cell>
          <cell r="F445">
            <v>7819034</v>
          </cell>
        </row>
        <row r="447">
          <cell r="B447">
            <v>26990238</v>
          </cell>
          <cell r="D447">
            <v>21698259</v>
          </cell>
          <cell r="F447">
            <v>48688497</v>
          </cell>
        </row>
        <row r="448">
          <cell r="B448">
            <v>17793013</v>
          </cell>
          <cell r="D448">
            <v>12648189</v>
          </cell>
          <cell r="F448">
            <v>30441202</v>
          </cell>
        </row>
        <row r="449">
          <cell r="B449">
            <v>13271830</v>
          </cell>
          <cell r="D449">
            <v>11150427</v>
          </cell>
          <cell r="F449">
            <v>24422257</v>
          </cell>
        </row>
        <row r="450">
          <cell r="B450">
            <v>8259870</v>
          </cell>
          <cell r="D450">
            <v>8535334</v>
          </cell>
          <cell r="F450">
            <v>16795204</v>
          </cell>
        </row>
        <row r="451">
          <cell r="B451">
            <v>1420581</v>
          </cell>
          <cell r="D451">
            <v>1602296</v>
          </cell>
          <cell r="F451">
            <v>3022877</v>
          </cell>
        </row>
        <row r="452">
          <cell r="B452">
            <v>72113047</v>
          </cell>
          <cell r="D452">
            <v>59076024</v>
          </cell>
          <cell r="F452">
            <v>131189071</v>
          </cell>
        </row>
        <row r="465">
          <cell r="B465">
            <v>2896838</v>
          </cell>
          <cell r="D465">
            <v>1034498</v>
          </cell>
          <cell r="F465">
            <v>3931336</v>
          </cell>
        </row>
        <row r="467">
          <cell r="B467">
            <v>44856619</v>
          </cell>
          <cell r="D467">
            <v>18162738</v>
          </cell>
          <cell r="F467">
            <v>63019357</v>
          </cell>
        </row>
        <row r="468">
          <cell r="B468">
            <v>32201073</v>
          </cell>
          <cell r="D468">
            <v>12366452</v>
          </cell>
          <cell r="F468">
            <v>44567525</v>
          </cell>
        </row>
        <row r="469">
          <cell r="B469">
            <v>23405774</v>
          </cell>
          <cell r="D469">
            <v>10073017</v>
          </cell>
          <cell r="F469">
            <v>33478791</v>
          </cell>
        </row>
        <row r="470">
          <cell r="B470">
            <v>12663329</v>
          </cell>
          <cell r="D470">
            <v>5671775</v>
          </cell>
          <cell r="F470">
            <v>18335104</v>
          </cell>
        </row>
        <row r="471">
          <cell r="B471">
            <v>2207476</v>
          </cell>
          <cell r="F471">
            <v>2962475</v>
          </cell>
        </row>
        <row r="472">
          <cell r="B472">
            <v>118231109</v>
          </cell>
          <cell r="D472">
            <v>48063479</v>
          </cell>
          <cell r="F472">
            <v>166294588</v>
          </cell>
        </row>
        <row r="485">
          <cell r="B485">
            <v>1592414</v>
          </cell>
          <cell r="D485">
            <v>226714</v>
          </cell>
          <cell r="F485">
            <v>1819128</v>
          </cell>
        </row>
        <row r="487">
          <cell r="B487">
            <v>9171611.7599999998</v>
          </cell>
          <cell r="D487">
            <v>3983868</v>
          </cell>
          <cell r="F487">
            <v>13155479.76</v>
          </cell>
        </row>
        <row r="488">
          <cell r="B488">
            <v>9127912.3399999999</v>
          </cell>
          <cell r="D488">
            <v>6116081</v>
          </cell>
          <cell r="F488">
            <v>15243993.34</v>
          </cell>
        </row>
        <row r="489">
          <cell r="B489">
            <v>8730545</v>
          </cell>
          <cell r="D489">
            <v>10174189</v>
          </cell>
          <cell r="F489">
            <v>18904734</v>
          </cell>
        </row>
        <row r="490">
          <cell r="B490">
            <v>7449022</v>
          </cell>
          <cell r="D490">
            <v>10386012</v>
          </cell>
          <cell r="F490">
            <v>17835034</v>
          </cell>
        </row>
        <row r="491">
          <cell r="B491">
            <v>1687150</v>
          </cell>
          <cell r="D491">
            <v>2948931</v>
          </cell>
          <cell r="F491">
            <v>4636081</v>
          </cell>
        </row>
        <row r="492">
          <cell r="B492">
            <v>37758655.100000001</v>
          </cell>
          <cell r="D492">
            <v>33835795</v>
          </cell>
          <cell r="F492">
            <v>71594450.099999994</v>
          </cell>
        </row>
        <row r="525">
          <cell r="B525">
            <v>145588</v>
          </cell>
          <cell r="D525">
            <v>567532</v>
          </cell>
          <cell r="F525">
            <v>713120</v>
          </cell>
        </row>
        <row r="527">
          <cell r="B527">
            <v>3705117</v>
          </cell>
          <cell r="D527">
            <v>17011527</v>
          </cell>
          <cell r="F527">
            <v>20716644</v>
          </cell>
        </row>
        <row r="528">
          <cell r="B528">
            <v>4977828.32</v>
          </cell>
          <cell r="D528">
            <v>18956314.699999999</v>
          </cell>
          <cell r="F528">
            <v>23934143.02</v>
          </cell>
        </row>
        <row r="529">
          <cell r="B529">
            <v>6100488.9400000004</v>
          </cell>
          <cell r="D529">
            <v>22985772.300000001</v>
          </cell>
          <cell r="F529">
            <v>29086261.240000002</v>
          </cell>
        </row>
        <row r="530">
          <cell r="B530">
            <v>6019623.1200000001</v>
          </cell>
          <cell r="D530">
            <v>24736810.100000001</v>
          </cell>
          <cell r="F530">
            <v>30756433.220000003</v>
          </cell>
        </row>
        <row r="531">
          <cell r="B531">
            <v>1258754.1399999999</v>
          </cell>
          <cell r="D531">
            <v>5416917.96</v>
          </cell>
          <cell r="F531">
            <v>6675672.0999999996</v>
          </cell>
        </row>
        <row r="532">
          <cell r="B532">
            <v>22207399.5</v>
          </cell>
          <cell r="D532">
            <v>89674874.099999994</v>
          </cell>
          <cell r="F532">
            <v>111882273.59999999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RA_eff_age_2019"/>
    </sheetNames>
    <sheetDataSet>
      <sheetData sheetId="0">
        <row r="7">
          <cell r="B7">
            <v>2657</v>
          </cell>
          <cell r="C7">
            <v>895</v>
          </cell>
          <cell r="F7">
            <v>467</v>
          </cell>
          <cell r="G7">
            <v>75</v>
          </cell>
          <cell r="H7">
            <v>542</v>
          </cell>
        </row>
        <row r="9">
          <cell r="B9">
            <v>16164</v>
          </cell>
          <cell r="C9">
            <v>8786</v>
          </cell>
          <cell r="F9">
            <v>3753</v>
          </cell>
          <cell r="G9">
            <v>1910</v>
          </cell>
          <cell r="H9">
            <v>5663</v>
          </cell>
        </row>
        <row r="10">
          <cell r="B10">
            <v>15736</v>
          </cell>
          <cell r="C10">
            <v>7208</v>
          </cell>
          <cell r="F10">
            <v>8899</v>
          </cell>
          <cell r="G10">
            <v>3094</v>
          </cell>
          <cell r="H10">
            <v>11993</v>
          </cell>
        </row>
        <row r="11">
          <cell r="B11">
            <v>12806</v>
          </cell>
          <cell r="C11">
            <v>6745</v>
          </cell>
          <cell r="F11">
            <v>14080</v>
          </cell>
          <cell r="G11">
            <v>4987</v>
          </cell>
          <cell r="H11">
            <v>19067</v>
          </cell>
        </row>
        <row r="12">
          <cell r="B12">
            <v>10881</v>
          </cell>
          <cell r="C12">
            <v>6788</v>
          </cell>
          <cell r="F12">
            <v>17102</v>
          </cell>
          <cell r="G12">
            <v>5599</v>
          </cell>
          <cell r="H12">
            <v>22701</v>
          </cell>
        </row>
        <row r="13">
          <cell r="B13">
            <v>1606</v>
          </cell>
          <cell r="C13">
            <v>1290</v>
          </cell>
          <cell r="F13">
            <v>3079</v>
          </cell>
          <cell r="G13">
            <v>1616</v>
          </cell>
          <cell r="H13">
            <v>4695</v>
          </cell>
        </row>
        <row r="14">
          <cell r="F14">
            <v>47380</v>
          </cell>
          <cell r="G14">
            <v>17281</v>
          </cell>
          <cell r="H14">
            <v>64661</v>
          </cell>
        </row>
        <row r="25">
          <cell r="D25">
            <v>56183992.399999999</v>
          </cell>
          <cell r="E25">
            <v>31502.47</v>
          </cell>
          <cell r="F25">
            <v>26626490.699999999</v>
          </cell>
          <cell r="G25">
            <v>15167.46</v>
          </cell>
          <cell r="H25">
            <v>82810483.099999994</v>
          </cell>
          <cell r="I25">
            <v>46669.93</v>
          </cell>
        </row>
        <row r="27">
          <cell r="D27">
            <v>503020298</v>
          </cell>
          <cell r="E27">
            <v>273361.32</v>
          </cell>
          <cell r="F27">
            <v>372661452</v>
          </cell>
          <cell r="G27">
            <v>209288.2</v>
          </cell>
          <cell r="H27">
            <v>875681750</v>
          </cell>
          <cell r="I27">
            <v>482649.52</v>
          </cell>
        </row>
        <row r="28">
          <cell r="D28">
            <v>598866801</v>
          </cell>
          <cell r="F28">
            <v>407261042</v>
          </cell>
          <cell r="G28">
            <v>230968.6</v>
          </cell>
          <cell r="H28">
            <v>1006127843</v>
          </cell>
          <cell r="I28">
            <v>556596.04</v>
          </cell>
        </row>
        <row r="29">
          <cell r="D29">
            <v>566103993</v>
          </cell>
          <cell r="F29">
            <v>403270458</v>
          </cell>
          <cell r="G29">
            <v>225967.5</v>
          </cell>
          <cell r="H29">
            <v>969374451</v>
          </cell>
          <cell r="I29">
            <v>535067.65999999992</v>
          </cell>
        </row>
        <row r="30">
          <cell r="D30">
            <v>510141964</v>
          </cell>
          <cell r="F30">
            <v>364659550</v>
          </cell>
          <cell r="G30">
            <v>205783.8</v>
          </cell>
          <cell r="H30">
            <v>874801514</v>
          </cell>
          <cell r="I30">
            <v>487174.69</v>
          </cell>
        </row>
        <row r="31">
          <cell r="D31">
            <v>94328718</v>
          </cell>
          <cell r="F31">
            <v>75820961.700000003</v>
          </cell>
          <cell r="G31">
            <v>45478.13</v>
          </cell>
          <cell r="H31">
            <v>170149679.69999999</v>
          </cell>
          <cell r="I31">
            <v>104725.70999999999</v>
          </cell>
        </row>
        <row r="32">
          <cell r="D32">
            <v>2328645767</v>
          </cell>
          <cell r="E32">
            <v>1280229.8999999999</v>
          </cell>
          <cell r="F32">
            <v>1650299954</v>
          </cell>
          <cell r="G32">
            <v>932653.7</v>
          </cell>
          <cell r="H32">
            <v>3978945721</v>
          </cell>
          <cell r="I32">
            <v>2212883.5999999996</v>
          </cell>
        </row>
        <row r="108">
          <cell r="F108">
            <v>189</v>
          </cell>
          <cell r="G108">
            <v>0</v>
          </cell>
          <cell r="H108">
            <v>189</v>
          </cell>
        </row>
        <row r="109">
          <cell r="F109">
            <v>162</v>
          </cell>
          <cell r="G109">
            <v>0</v>
          </cell>
          <cell r="H109">
            <v>162</v>
          </cell>
        </row>
        <row r="112">
          <cell r="F112">
            <v>583</v>
          </cell>
          <cell r="G112">
            <v>41</v>
          </cell>
          <cell r="H112">
            <v>624</v>
          </cell>
        </row>
        <row r="148">
          <cell r="F148">
            <v>944</v>
          </cell>
          <cell r="G148">
            <v>153</v>
          </cell>
          <cell r="H148">
            <v>1097</v>
          </cell>
        </row>
        <row r="149">
          <cell r="F149">
            <v>1801</v>
          </cell>
          <cell r="G149">
            <v>165</v>
          </cell>
          <cell r="H149">
            <v>1966</v>
          </cell>
        </row>
        <row r="150">
          <cell r="F150">
            <v>2441</v>
          </cell>
          <cell r="G150">
            <v>118</v>
          </cell>
          <cell r="H150">
            <v>2559</v>
          </cell>
        </row>
        <row r="151">
          <cell r="F151">
            <v>543</v>
          </cell>
          <cell r="G151">
            <v>30</v>
          </cell>
          <cell r="H151">
            <v>573</v>
          </cell>
        </row>
        <row r="152">
          <cell r="F152">
            <v>5909</v>
          </cell>
          <cell r="G152">
            <v>490</v>
          </cell>
          <cell r="H152">
            <v>6399</v>
          </cell>
        </row>
        <row r="168">
          <cell r="B168">
            <v>471</v>
          </cell>
          <cell r="C168">
            <v>124</v>
          </cell>
          <cell r="F168">
            <v>281</v>
          </cell>
          <cell r="G168">
            <v>34</v>
          </cell>
          <cell r="H168">
            <v>315</v>
          </cell>
        </row>
        <row r="169">
          <cell r="B169">
            <v>461</v>
          </cell>
          <cell r="C169">
            <v>135</v>
          </cell>
          <cell r="F169">
            <v>155</v>
          </cell>
          <cell r="G169">
            <v>83</v>
          </cell>
          <cell r="H169">
            <v>238</v>
          </cell>
        </row>
        <row r="170">
          <cell r="B170">
            <v>289</v>
          </cell>
          <cell r="C170">
            <v>60</v>
          </cell>
          <cell r="F170">
            <v>330</v>
          </cell>
          <cell r="G170">
            <v>32</v>
          </cell>
          <cell r="H170">
            <v>362</v>
          </cell>
        </row>
        <row r="171">
          <cell r="B171">
            <v>29</v>
          </cell>
          <cell r="C171">
            <v>6</v>
          </cell>
          <cell r="F171">
            <v>34</v>
          </cell>
          <cell r="G171">
            <v>0</v>
          </cell>
          <cell r="H171">
            <v>34</v>
          </cell>
        </row>
        <row r="172">
          <cell r="F172">
            <v>879</v>
          </cell>
          <cell r="G172">
            <v>149</v>
          </cell>
          <cell r="H172">
            <v>1028</v>
          </cell>
        </row>
        <row r="185">
          <cell r="B185">
            <v>209</v>
          </cell>
          <cell r="C185">
            <v>181</v>
          </cell>
          <cell r="F185">
            <v>7</v>
          </cell>
          <cell r="G185">
            <v>10</v>
          </cell>
          <cell r="H185">
            <v>17</v>
          </cell>
        </row>
        <row r="187">
          <cell r="B187">
            <v>817</v>
          </cell>
          <cell r="C187">
            <v>824</v>
          </cell>
          <cell r="F187">
            <v>138</v>
          </cell>
          <cell r="G187">
            <v>123</v>
          </cell>
          <cell r="H187">
            <v>261</v>
          </cell>
        </row>
        <row r="188">
          <cell r="B188">
            <v>415</v>
          </cell>
          <cell r="C188">
            <v>387</v>
          </cell>
          <cell r="F188">
            <v>141</v>
          </cell>
          <cell r="G188">
            <v>110</v>
          </cell>
          <cell r="H188">
            <v>251</v>
          </cell>
        </row>
        <row r="189">
          <cell r="B189">
            <v>266</v>
          </cell>
          <cell r="C189">
            <v>287</v>
          </cell>
          <cell r="F189">
            <v>125</v>
          </cell>
          <cell r="G189">
            <v>241</v>
          </cell>
          <cell r="H189">
            <v>366</v>
          </cell>
        </row>
        <row r="190">
          <cell r="B190">
            <v>174</v>
          </cell>
          <cell r="C190">
            <v>249</v>
          </cell>
          <cell r="F190">
            <v>159</v>
          </cell>
          <cell r="G190">
            <v>272</v>
          </cell>
          <cell r="H190">
            <v>431</v>
          </cell>
        </row>
        <row r="191">
          <cell r="B191">
            <v>32</v>
          </cell>
          <cell r="C191">
            <v>34</v>
          </cell>
          <cell r="F191">
            <v>13</v>
          </cell>
          <cell r="G191">
            <v>19</v>
          </cell>
          <cell r="H191">
            <v>32</v>
          </cell>
        </row>
        <row r="192">
          <cell r="F192">
            <v>583</v>
          </cell>
          <cell r="G192">
            <v>775</v>
          </cell>
          <cell r="H192">
            <v>1358</v>
          </cell>
        </row>
        <row r="205">
          <cell r="F205">
            <v>95</v>
          </cell>
          <cell r="G205">
            <v>6</v>
          </cell>
          <cell r="H205">
            <v>101</v>
          </cell>
        </row>
        <row r="207">
          <cell r="F207">
            <v>610</v>
          </cell>
          <cell r="G207">
            <v>124</v>
          </cell>
          <cell r="H207">
            <v>734</v>
          </cell>
        </row>
        <row r="208">
          <cell r="F208">
            <v>1331</v>
          </cell>
          <cell r="G208">
            <v>263</v>
          </cell>
          <cell r="H208">
            <v>1594</v>
          </cell>
        </row>
        <row r="209">
          <cell r="F209">
            <v>1824</v>
          </cell>
          <cell r="G209">
            <v>166</v>
          </cell>
          <cell r="H209">
            <v>1990</v>
          </cell>
        </row>
        <row r="210">
          <cell r="F210">
            <v>1303</v>
          </cell>
          <cell r="G210">
            <v>153</v>
          </cell>
          <cell r="H210">
            <v>1456</v>
          </cell>
        </row>
        <row r="211">
          <cell r="F211">
            <v>276</v>
          </cell>
          <cell r="G211">
            <v>9</v>
          </cell>
          <cell r="H211">
            <v>285</v>
          </cell>
        </row>
        <row r="212">
          <cell r="F212">
            <v>5439</v>
          </cell>
          <cell r="G212">
            <v>721</v>
          </cell>
          <cell r="H212">
            <v>6160</v>
          </cell>
        </row>
        <row r="225">
          <cell r="B225">
            <v>152</v>
          </cell>
          <cell r="C225">
            <v>19</v>
          </cell>
          <cell r="F225">
            <v>4</v>
          </cell>
          <cell r="G225">
            <v>3</v>
          </cell>
          <cell r="H225">
            <v>7</v>
          </cell>
        </row>
        <row r="227">
          <cell r="B227">
            <v>488</v>
          </cell>
          <cell r="C227">
            <v>161</v>
          </cell>
          <cell r="F227">
            <v>149</v>
          </cell>
          <cell r="G227">
            <v>30</v>
          </cell>
          <cell r="H227">
            <v>179</v>
          </cell>
        </row>
        <row r="228">
          <cell r="B228">
            <v>435</v>
          </cell>
          <cell r="C228">
            <v>253</v>
          </cell>
          <cell r="F228">
            <v>283</v>
          </cell>
          <cell r="G228">
            <v>105</v>
          </cell>
          <cell r="H228">
            <v>388</v>
          </cell>
        </row>
        <row r="229">
          <cell r="B229">
            <v>326</v>
          </cell>
          <cell r="C229">
            <v>353</v>
          </cell>
          <cell r="F229">
            <v>616</v>
          </cell>
          <cell r="G229">
            <v>270</v>
          </cell>
          <cell r="H229">
            <v>886</v>
          </cell>
        </row>
        <row r="230">
          <cell r="B230">
            <v>293</v>
          </cell>
          <cell r="C230">
            <v>422</v>
          </cell>
          <cell r="F230">
            <v>581</v>
          </cell>
          <cell r="G230">
            <v>600</v>
          </cell>
          <cell r="H230">
            <v>1181</v>
          </cell>
        </row>
        <row r="231">
          <cell r="B231">
            <v>57</v>
          </cell>
          <cell r="C231">
            <v>108</v>
          </cell>
          <cell r="F231">
            <v>49</v>
          </cell>
          <cell r="G231">
            <v>151</v>
          </cell>
          <cell r="H231">
            <v>200</v>
          </cell>
        </row>
        <row r="232">
          <cell r="F232">
            <v>1682</v>
          </cell>
          <cell r="G232">
            <v>1159</v>
          </cell>
          <cell r="H232">
            <v>2841</v>
          </cell>
        </row>
        <row r="265">
          <cell r="F265">
            <v>0</v>
          </cell>
          <cell r="G265">
            <v>0</v>
          </cell>
          <cell r="H265">
            <v>0</v>
          </cell>
        </row>
        <row r="267">
          <cell r="F267">
            <v>10</v>
          </cell>
          <cell r="G267">
            <v>169</v>
          </cell>
          <cell r="H267">
            <v>179</v>
          </cell>
        </row>
        <row r="268">
          <cell r="F268">
            <v>21</v>
          </cell>
          <cell r="G268">
            <v>302</v>
          </cell>
          <cell r="H268">
            <v>323</v>
          </cell>
        </row>
        <row r="269">
          <cell r="F269">
            <v>62</v>
          </cell>
          <cell r="G269">
            <v>800</v>
          </cell>
          <cell r="H269">
            <v>862</v>
          </cell>
        </row>
        <row r="270">
          <cell r="F270">
            <v>258</v>
          </cell>
          <cell r="G270">
            <v>742</v>
          </cell>
          <cell r="H270">
            <v>1000</v>
          </cell>
        </row>
        <row r="271">
          <cell r="F271">
            <v>41</v>
          </cell>
          <cell r="G271">
            <v>197</v>
          </cell>
          <cell r="H271">
            <v>238</v>
          </cell>
        </row>
        <row r="272">
          <cell r="F272">
            <v>392</v>
          </cell>
          <cell r="G272">
            <v>2210</v>
          </cell>
          <cell r="H272">
            <v>2602</v>
          </cell>
        </row>
        <row r="368">
          <cell r="B368">
            <v>4045469.8</v>
          </cell>
          <cell r="D368">
            <v>1074909</v>
          </cell>
          <cell r="F368">
            <v>5120378.8</v>
          </cell>
        </row>
        <row r="369">
          <cell r="B369">
            <v>4698438</v>
          </cell>
          <cell r="D369">
            <v>1152386.04</v>
          </cell>
          <cell r="F369">
            <v>5850824.04</v>
          </cell>
        </row>
        <row r="372">
          <cell r="B372">
            <v>16804606.600000001</v>
          </cell>
          <cell r="D372">
            <v>3923817.04</v>
          </cell>
          <cell r="F372">
            <v>20728423.640000001</v>
          </cell>
        </row>
        <row r="408">
          <cell r="B408">
            <v>33796683</v>
          </cell>
          <cell r="D408">
            <v>6681369</v>
          </cell>
          <cell r="F408">
            <v>40478052</v>
          </cell>
        </row>
        <row r="409">
          <cell r="B409">
            <v>40123276</v>
          </cell>
          <cell r="D409">
            <v>7888596</v>
          </cell>
          <cell r="F409">
            <v>48011872</v>
          </cell>
        </row>
        <row r="410">
          <cell r="B410">
            <v>40279400</v>
          </cell>
          <cell r="D410">
            <v>6912546</v>
          </cell>
          <cell r="F410">
            <v>47191946</v>
          </cell>
        </row>
        <row r="411">
          <cell r="B411">
            <v>8583467</v>
          </cell>
          <cell r="D411">
            <v>1436693</v>
          </cell>
          <cell r="F411">
            <v>10020160</v>
          </cell>
        </row>
        <row r="412">
          <cell r="B412">
            <v>142475238</v>
          </cell>
          <cell r="D412">
            <v>27042027</v>
          </cell>
          <cell r="F412">
            <v>169517265</v>
          </cell>
        </row>
        <row r="428">
          <cell r="B428">
            <v>13775279.6</v>
          </cell>
          <cell r="D428">
            <v>5511802.7199999997</v>
          </cell>
          <cell r="F428">
            <v>19287082.32</v>
          </cell>
        </row>
        <row r="429">
          <cell r="B429">
            <v>14782212.800000001</v>
          </cell>
          <cell r="D429">
            <v>5812420.7300000004</v>
          </cell>
          <cell r="F429">
            <v>20594633.530000001</v>
          </cell>
        </row>
        <row r="430">
          <cell r="B430">
            <v>12836175</v>
          </cell>
          <cell r="D430">
            <v>4516873.75</v>
          </cell>
          <cell r="F430">
            <v>17353048.75</v>
          </cell>
        </row>
        <row r="431">
          <cell r="B431">
            <v>1319228.48</v>
          </cell>
          <cell r="D431">
            <v>621423</v>
          </cell>
          <cell r="F431">
            <v>1940651.48</v>
          </cell>
        </row>
        <row r="432">
          <cell r="B432">
            <v>51806239.899999999</v>
          </cell>
          <cell r="D432">
            <v>20659796.199999999</v>
          </cell>
          <cell r="F432">
            <v>72466036.099999994</v>
          </cell>
        </row>
        <row r="445">
          <cell r="B445">
            <v>5645986</v>
          </cell>
          <cell r="D445">
            <v>4406960.22</v>
          </cell>
          <cell r="F445">
            <v>10052946.219999999</v>
          </cell>
        </row>
        <row r="447">
          <cell r="B447">
            <v>29517732.300000001</v>
          </cell>
          <cell r="D447">
            <v>24036545.899999999</v>
          </cell>
          <cell r="F447">
            <v>53554278.200000003</v>
          </cell>
        </row>
        <row r="448">
          <cell r="B448">
            <v>19565480</v>
          </cell>
          <cell r="D448">
            <v>14217309.699999999</v>
          </cell>
          <cell r="F448">
            <v>33782789.700000003</v>
          </cell>
        </row>
        <row r="449">
          <cell r="B449">
            <v>12983695.9</v>
          </cell>
          <cell r="D449">
            <v>11255438</v>
          </cell>
          <cell r="F449">
            <v>24239133.899999999</v>
          </cell>
        </row>
        <row r="450">
          <cell r="B450">
            <v>9227043.5</v>
          </cell>
          <cell r="D450">
            <v>9125604.8399999999</v>
          </cell>
          <cell r="F450">
            <v>18352648.34</v>
          </cell>
        </row>
        <row r="451">
          <cell r="B451">
            <v>1802715.02</v>
          </cell>
          <cell r="D451">
            <v>1958354.22</v>
          </cell>
          <cell r="F451">
            <v>3761069.24</v>
          </cell>
        </row>
        <row r="452">
          <cell r="B452">
            <v>78742652.799999997</v>
          </cell>
          <cell r="D452">
            <v>65000212.799999997</v>
          </cell>
          <cell r="F452">
            <v>143742865.59999999</v>
          </cell>
        </row>
        <row r="465">
          <cell r="B465">
            <v>4290876.8</v>
          </cell>
          <cell r="D465">
            <v>1560763.53</v>
          </cell>
          <cell r="F465">
            <v>5851640.3300000001</v>
          </cell>
        </row>
        <row r="467">
          <cell r="B467">
            <v>49257123.5</v>
          </cell>
          <cell r="D467">
            <v>22004772.5</v>
          </cell>
          <cell r="F467">
            <v>71261896</v>
          </cell>
        </row>
        <row r="468">
          <cell r="B468">
            <v>36323973.5</v>
          </cell>
          <cell r="D468">
            <v>14467480</v>
          </cell>
          <cell r="F468">
            <v>50791453.5</v>
          </cell>
        </row>
        <row r="469">
          <cell r="B469">
            <v>28473494.5</v>
          </cell>
          <cell r="D469">
            <v>12019457</v>
          </cell>
          <cell r="F469">
            <v>40492951.5</v>
          </cell>
        </row>
        <row r="470">
          <cell r="B470">
            <v>18519208</v>
          </cell>
          <cell r="D470">
            <v>7859885.0499999998</v>
          </cell>
          <cell r="F470">
            <v>26379093.050000001</v>
          </cell>
        </row>
        <row r="471">
          <cell r="B471">
            <v>3984994.93</v>
          </cell>
          <cell r="D471">
            <v>1205592.21</v>
          </cell>
          <cell r="F471">
            <v>5190587.1400000006</v>
          </cell>
        </row>
        <row r="472">
          <cell r="B472">
            <v>140849671</v>
          </cell>
          <cell r="D472">
            <v>59117950.200000003</v>
          </cell>
          <cell r="F472">
            <v>199967621.19999999</v>
          </cell>
        </row>
        <row r="485">
          <cell r="B485">
            <v>1998714.52</v>
          </cell>
          <cell r="D485">
            <v>249721.23</v>
          </cell>
          <cell r="F485">
            <v>2248435.75</v>
          </cell>
        </row>
        <row r="487">
          <cell r="B487">
            <v>9504164.3900000006</v>
          </cell>
          <cell r="D487">
            <v>3985110.8</v>
          </cell>
          <cell r="F487">
            <v>13489275.190000001</v>
          </cell>
        </row>
        <row r="488">
          <cell r="B488">
            <v>10050497.699999999</v>
          </cell>
          <cell r="D488">
            <v>6717759.6699999999</v>
          </cell>
          <cell r="F488">
            <v>16768257.369999999</v>
          </cell>
        </row>
        <row r="489">
          <cell r="B489">
            <v>9287940.5</v>
          </cell>
          <cell r="D489">
            <v>10614117.800000001</v>
          </cell>
          <cell r="F489">
            <v>19902058.300000001</v>
          </cell>
        </row>
        <row r="490">
          <cell r="B490">
            <v>8842928.7599999998</v>
          </cell>
          <cell r="D490">
            <v>11231572.6</v>
          </cell>
          <cell r="F490">
            <v>20074501.359999999</v>
          </cell>
        </row>
        <row r="491">
          <cell r="B491">
            <v>2104966.9500000002</v>
          </cell>
          <cell r="D491">
            <v>3419301.49</v>
          </cell>
          <cell r="F491">
            <v>5524268.4400000004</v>
          </cell>
        </row>
        <row r="492">
          <cell r="B492">
            <v>41789212.799999997</v>
          </cell>
          <cell r="D492">
            <v>36217583.600000001</v>
          </cell>
          <cell r="F492">
            <v>78006796.400000006</v>
          </cell>
        </row>
        <row r="525">
          <cell r="B525">
            <v>176814</v>
          </cell>
          <cell r="D525">
            <v>664434.30000000005</v>
          </cell>
          <cell r="F525">
            <v>841248.3</v>
          </cell>
        </row>
        <row r="527">
          <cell r="B527">
            <v>5850996.7000000002</v>
          </cell>
          <cell r="D527">
            <v>18574072.100000001</v>
          </cell>
          <cell r="F527">
            <v>24425068.800000001</v>
          </cell>
        </row>
        <row r="528">
          <cell r="B528">
            <v>7378674.9800000004</v>
          </cell>
          <cell r="D528">
            <v>22180898.100000001</v>
          </cell>
          <cell r="F528">
            <v>29559573.080000002</v>
          </cell>
        </row>
        <row r="529">
          <cell r="B529">
            <v>7750535.5999999996</v>
          </cell>
          <cell r="D529">
            <v>23605237.5</v>
          </cell>
          <cell r="F529">
            <v>31355773.100000001</v>
          </cell>
        </row>
        <row r="530">
          <cell r="B530">
            <v>7512584.1699999999</v>
          </cell>
          <cell r="D530">
            <v>25655822.600000001</v>
          </cell>
          <cell r="F530">
            <v>33168406.770000003</v>
          </cell>
        </row>
        <row r="531">
          <cell r="B531">
            <v>1575858.16</v>
          </cell>
          <cell r="D531">
            <v>6528599.79</v>
          </cell>
          <cell r="F531">
            <v>8104457.9500000002</v>
          </cell>
        </row>
        <row r="532">
          <cell r="B532">
            <v>30245463.600000001</v>
          </cell>
          <cell r="D532">
            <v>97209064.400000006</v>
          </cell>
          <cell r="F532">
            <v>127454528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F38_SEXE"/>
      <sheetName val="NA88_SEXE"/>
      <sheetName val="NA88_AGE_SEXE"/>
      <sheetName val="PCS_SEXE"/>
      <sheetName val="NAF38_DUREE_SEXE"/>
      <sheetName val="NAF38_TP_SEXE"/>
      <sheetName val="DEP_NAF10_SEXE"/>
      <sheetName val="DEP_NAF88_SEXE"/>
    </sheetNames>
    <sheetDataSet>
      <sheetData sheetId="0"/>
      <sheetData sheetId="1">
        <row r="69">
          <cell r="C69">
            <v>8140</v>
          </cell>
        </row>
      </sheetData>
      <sheetData sheetId="2">
        <row r="835">
          <cell r="D835">
            <v>5</v>
          </cell>
        </row>
        <row r="836">
          <cell r="D836">
            <v>75</v>
          </cell>
        </row>
        <row r="837">
          <cell r="D837">
            <v>15</v>
          </cell>
        </row>
        <row r="838">
          <cell r="D838">
            <v>443</v>
          </cell>
        </row>
        <row r="839">
          <cell r="D839">
            <v>140</v>
          </cell>
        </row>
        <row r="840">
          <cell r="D840">
            <v>741</v>
          </cell>
        </row>
        <row r="841">
          <cell r="D841">
            <v>232</v>
          </cell>
        </row>
        <row r="842">
          <cell r="D842">
            <v>962</v>
          </cell>
        </row>
        <row r="843">
          <cell r="D843">
            <v>302</v>
          </cell>
        </row>
        <row r="844">
          <cell r="D844">
            <v>1053</v>
          </cell>
        </row>
        <row r="845">
          <cell r="D845">
            <v>339</v>
          </cell>
        </row>
        <row r="846">
          <cell r="D846">
            <v>1058</v>
          </cell>
        </row>
        <row r="847">
          <cell r="D847">
            <v>341</v>
          </cell>
        </row>
        <row r="848">
          <cell r="D848">
            <v>1215</v>
          </cell>
        </row>
        <row r="849">
          <cell r="D849">
            <v>377</v>
          </cell>
        </row>
        <row r="850">
          <cell r="D850">
            <v>1284</v>
          </cell>
        </row>
        <row r="851">
          <cell r="D851">
            <v>294</v>
          </cell>
        </row>
        <row r="852">
          <cell r="D852">
            <v>1051</v>
          </cell>
        </row>
        <row r="853">
          <cell r="D853">
            <v>190</v>
          </cell>
        </row>
        <row r="854">
          <cell r="D854">
            <v>197</v>
          </cell>
        </row>
        <row r="855">
          <cell r="D855">
            <v>97</v>
          </cell>
        </row>
        <row r="856">
          <cell r="D856">
            <v>42</v>
          </cell>
        </row>
        <row r="857">
          <cell r="D857">
            <v>8</v>
          </cell>
        </row>
        <row r="938">
          <cell r="D938">
            <v>62</v>
          </cell>
        </row>
        <row r="939">
          <cell r="D939">
            <v>7029</v>
          </cell>
        </row>
        <row r="940">
          <cell r="D940">
            <v>305</v>
          </cell>
        </row>
        <row r="941">
          <cell r="D941">
            <v>12988</v>
          </cell>
        </row>
        <row r="942">
          <cell r="D942">
            <v>982</v>
          </cell>
        </row>
        <row r="943">
          <cell r="D943">
            <v>16173</v>
          </cell>
        </row>
        <row r="944">
          <cell r="D944">
            <v>1620</v>
          </cell>
        </row>
        <row r="945">
          <cell r="D945">
            <v>17263</v>
          </cell>
        </row>
        <row r="946">
          <cell r="D946">
            <v>2003</v>
          </cell>
        </row>
        <row r="947">
          <cell r="D947">
            <v>14350</v>
          </cell>
        </row>
        <row r="948">
          <cell r="D948">
            <v>2281</v>
          </cell>
        </row>
        <row r="949">
          <cell r="D949">
            <v>12290</v>
          </cell>
        </row>
        <row r="950">
          <cell r="D950">
            <v>2052</v>
          </cell>
        </row>
        <row r="951">
          <cell r="D951">
            <v>12956</v>
          </cell>
        </row>
        <row r="952">
          <cell r="D952">
            <v>2707</v>
          </cell>
        </row>
        <row r="953">
          <cell r="D953">
            <v>12506</v>
          </cell>
        </row>
        <row r="954">
          <cell r="D954">
            <v>2661</v>
          </cell>
        </row>
        <row r="955">
          <cell r="D955">
            <v>9415</v>
          </cell>
        </row>
        <row r="956">
          <cell r="D956">
            <v>1713</v>
          </cell>
        </row>
        <row r="957">
          <cell r="D957">
            <v>1930</v>
          </cell>
        </row>
        <row r="958">
          <cell r="D958">
            <v>710</v>
          </cell>
        </row>
        <row r="1077">
          <cell r="D1077">
            <v>10</v>
          </cell>
        </row>
        <row r="1078">
          <cell r="D1078">
            <v>1</v>
          </cell>
        </row>
        <row r="1079">
          <cell r="D1079">
            <v>748</v>
          </cell>
        </row>
        <row r="1080">
          <cell r="D1080">
            <v>134</v>
          </cell>
        </row>
        <row r="1081">
          <cell r="D1081">
            <v>3604</v>
          </cell>
        </row>
        <row r="1082">
          <cell r="D1082">
            <v>1093</v>
          </cell>
        </row>
        <row r="1083">
          <cell r="D1083">
            <v>6193</v>
          </cell>
        </row>
        <row r="1084">
          <cell r="D1084">
            <v>1737</v>
          </cell>
        </row>
        <row r="1085">
          <cell r="D1085">
            <v>7516</v>
          </cell>
        </row>
        <row r="1086">
          <cell r="D1086">
            <v>2013</v>
          </cell>
        </row>
        <row r="1087">
          <cell r="D1087">
            <v>8590</v>
          </cell>
        </row>
        <row r="1088">
          <cell r="D1088">
            <v>2322</v>
          </cell>
        </row>
        <row r="1089">
          <cell r="D1089">
            <v>9567</v>
          </cell>
        </row>
        <row r="1090">
          <cell r="D1090">
            <v>2410</v>
          </cell>
        </row>
        <row r="1091">
          <cell r="D1091">
            <v>11034</v>
          </cell>
        </row>
        <row r="1092">
          <cell r="D1092">
            <v>2550</v>
          </cell>
        </row>
        <row r="1093">
          <cell r="D1093">
            <v>10808</v>
          </cell>
        </row>
        <row r="1094">
          <cell r="D1094">
            <v>2501</v>
          </cell>
        </row>
        <row r="1095">
          <cell r="D1095">
            <v>8947</v>
          </cell>
        </row>
        <row r="1096">
          <cell r="D1096">
            <v>1806</v>
          </cell>
        </row>
        <row r="1097">
          <cell r="D1097">
            <v>2373</v>
          </cell>
        </row>
        <row r="1098">
          <cell r="D1098">
            <v>623</v>
          </cell>
        </row>
        <row r="1099">
          <cell r="D1099">
            <v>729</v>
          </cell>
        </row>
        <row r="1100">
          <cell r="D1100">
            <v>153</v>
          </cell>
        </row>
        <row r="1150">
          <cell r="D1150">
            <v>1</v>
          </cell>
        </row>
        <row r="1152">
          <cell r="D1152">
            <v>285</v>
          </cell>
        </row>
        <row r="1154">
          <cell r="D1154">
            <v>1692</v>
          </cell>
        </row>
        <row r="1156">
          <cell r="D1156">
            <v>2532</v>
          </cell>
        </row>
        <row r="1158">
          <cell r="D1158">
            <v>2874</v>
          </cell>
        </row>
        <row r="1159">
          <cell r="D1159">
            <v>1450</v>
          </cell>
        </row>
        <row r="1160">
          <cell r="D1160">
            <v>3416</v>
          </cell>
        </row>
        <row r="1161">
          <cell r="D1161">
            <v>1650</v>
          </cell>
        </row>
        <row r="1162">
          <cell r="D1162">
            <v>3302</v>
          </cell>
        </row>
        <row r="1164">
          <cell r="D1164">
            <v>3682</v>
          </cell>
        </row>
        <row r="1166">
          <cell r="D1166">
            <v>3363</v>
          </cell>
        </row>
        <row r="1168">
          <cell r="D1168">
            <v>2421</v>
          </cell>
        </row>
        <row r="1170">
          <cell r="D1170">
            <v>494</v>
          </cell>
        </row>
        <row r="1172">
          <cell r="D1172">
            <v>67</v>
          </cell>
        </row>
        <row r="1243">
          <cell r="D1243">
            <v>25</v>
          </cell>
        </row>
        <row r="1244">
          <cell r="D1244">
            <v>47</v>
          </cell>
        </row>
        <row r="1245">
          <cell r="D1245">
            <v>3239</v>
          </cell>
        </row>
        <row r="1246">
          <cell r="D1246">
            <v>2915</v>
          </cell>
        </row>
        <row r="1247">
          <cell r="D1247">
            <v>7392</v>
          </cell>
        </row>
        <row r="1248">
          <cell r="D1248">
            <v>6947</v>
          </cell>
        </row>
        <row r="1249">
          <cell r="D1249">
            <v>5973</v>
          </cell>
        </row>
        <row r="1250">
          <cell r="D1250">
            <v>5132</v>
          </cell>
        </row>
        <row r="1251">
          <cell r="D1251">
            <v>4599</v>
          </cell>
        </row>
        <row r="1252">
          <cell r="D1252">
            <v>4279</v>
          </cell>
        </row>
        <row r="1253">
          <cell r="D1253">
            <v>3775</v>
          </cell>
        </row>
        <row r="1254">
          <cell r="D1254">
            <v>3726</v>
          </cell>
        </row>
        <row r="1255">
          <cell r="D1255">
            <v>3242</v>
          </cell>
        </row>
        <row r="1256">
          <cell r="D1256">
            <v>3146</v>
          </cell>
        </row>
        <row r="1257">
          <cell r="D1257">
            <v>3394</v>
          </cell>
        </row>
        <row r="1258">
          <cell r="D1258">
            <v>3453</v>
          </cell>
        </row>
        <row r="1259">
          <cell r="D1259">
            <v>2818</v>
          </cell>
        </row>
        <row r="1260">
          <cell r="D1260">
            <v>3185</v>
          </cell>
        </row>
        <row r="1261">
          <cell r="D1261">
            <v>1873</v>
          </cell>
        </row>
        <row r="1262">
          <cell r="D1262">
            <v>2319</v>
          </cell>
        </row>
        <row r="1263">
          <cell r="D1263">
            <v>672</v>
          </cell>
        </row>
        <row r="1264">
          <cell r="D1264">
            <v>848</v>
          </cell>
        </row>
        <row r="1265">
          <cell r="D1265">
            <v>204</v>
          </cell>
        </row>
        <row r="1266">
          <cell r="D1266">
            <v>188</v>
          </cell>
        </row>
        <row r="1767">
          <cell r="D1767">
            <v>3</v>
          </cell>
        </row>
        <row r="1768">
          <cell r="D1768">
            <v>2046</v>
          </cell>
        </row>
        <row r="1769">
          <cell r="D1769">
            <v>694</v>
          </cell>
        </row>
        <row r="1770">
          <cell r="D1770">
            <v>9579</v>
          </cell>
        </row>
        <row r="1771">
          <cell r="D1771">
            <v>4638</v>
          </cell>
        </row>
        <row r="1772">
          <cell r="D1772">
            <v>7467</v>
          </cell>
        </row>
        <row r="1773">
          <cell r="D1773">
            <v>4176</v>
          </cell>
        </row>
        <row r="1774">
          <cell r="D1774">
            <v>6691</v>
          </cell>
        </row>
        <row r="1775">
          <cell r="D1775">
            <v>3345</v>
          </cell>
        </row>
        <row r="1776">
          <cell r="D1776">
            <v>5908</v>
          </cell>
        </row>
        <row r="1777">
          <cell r="D1777">
            <v>3065</v>
          </cell>
        </row>
        <row r="1778">
          <cell r="D1778">
            <v>5057</v>
          </cell>
        </row>
        <row r="1779">
          <cell r="D1779">
            <v>2842</v>
          </cell>
        </row>
        <row r="1780">
          <cell r="D1780">
            <v>4661</v>
          </cell>
        </row>
        <row r="1781">
          <cell r="D1781">
            <v>2722</v>
          </cell>
        </row>
        <row r="1782">
          <cell r="D1782">
            <v>3566</v>
          </cell>
        </row>
        <row r="1783">
          <cell r="D1783">
            <v>2120</v>
          </cell>
        </row>
        <row r="1784">
          <cell r="D1784">
            <v>2283</v>
          </cell>
        </row>
        <row r="1785">
          <cell r="D1785">
            <v>1398</v>
          </cell>
        </row>
        <row r="1786">
          <cell r="D1786">
            <v>754</v>
          </cell>
        </row>
        <row r="1787">
          <cell r="D1787">
            <v>406</v>
          </cell>
        </row>
        <row r="1788">
          <cell r="D1788">
            <v>194</v>
          </cell>
        </row>
        <row r="1789">
          <cell r="D1789">
            <v>84</v>
          </cell>
        </row>
        <row r="1855">
          <cell r="D1855">
            <v>13</v>
          </cell>
        </row>
        <row r="1856">
          <cell r="D1856">
            <v>1235</v>
          </cell>
        </row>
        <row r="1857">
          <cell r="D1857">
            <v>232</v>
          </cell>
        </row>
        <row r="1858">
          <cell r="D1858">
            <v>2265</v>
          </cell>
        </row>
        <row r="1859">
          <cell r="D1859">
            <v>988</v>
          </cell>
        </row>
        <row r="1860">
          <cell r="D1860">
            <v>2406</v>
          </cell>
        </row>
        <row r="1861">
          <cell r="D1861">
            <v>1361</v>
          </cell>
        </row>
        <row r="1862">
          <cell r="D1862">
            <v>2321</v>
          </cell>
        </row>
        <row r="1863">
          <cell r="D1863">
            <v>2248</v>
          </cell>
        </row>
        <row r="1864">
          <cell r="D1864">
            <v>2132</v>
          </cell>
        </row>
        <row r="1865">
          <cell r="D1865">
            <v>2476</v>
          </cell>
        </row>
        <row r="1866">
          <cell r="D1866">
            <v>2113</v>
          </cell>
        </row>
        <row r="1867">
          <cell r="D1867">
            <v>3175</v>
          </cell>
        </row>
        <row r="1868">
          <cell r="D1868">
            <v>2370</v>
          </cell>
        </row>
        <row r="1869">
          <cell r="D1869">
            <v>3770</v>
          </cell>
        </row>
        <row r="1870">
          <cell r="D1870">
            <v>2292</v>
          </cell>
        </row>
        <row r="1871">
          <cell r="D1871">
            <v>3441</v>
          </cell>
        </row>
        <row r="1872">
          <cell r="D1872">
            <v>1724</v>
          </cell>
        </row>
        <row r="1873">
          <cell r="D1873">
            <v>3045</v>
          </cell>
        </row>
        <row r="1874">
          <cell r="D1874">
            <v>539</v>
          </cell>
        </row>
        <row r="1875">
          <cell r="D1875">
            <v>1532</v>
          </cell>
        </row>
        <row r="1876">
          <cell r="D1876">
            <v>180</v>
          </cell>
        </row>
        <row r="1877">
          <cell r="D1877">
            <v>276</v>
          </cell>
        </row>
        <row r="2017">
          <cell r="D2017">
            <v>4</v>
          </cell>
        </row>
        <row r="2018">
          <cell r="D2018">
            <v>1</v>
          </cell>
        </row>
        <row r="2019">
          <cell r="D2019">
            <v>152</v>
          </cell>
        </row>
        <row r="2020">
          <cell r="D2020">
            <v>759</v>
          </cell>
        </row>
        <row r="2021">
          <cell r="D2021">
            <v>877</v>
          </cell>
        </row>
        <row r="2022">
          <cell r="D2022">
            <v>4406</v>
          </cell>
        </row>
        <row r="2023">
          <cell r="D2023">
            <v>1193</v>
          </cell>
        </row>
        <row r="2024">
          <cell r="D2024">
            <v>5501</v>
          </cell>
        </row>
        <row r="2025">
          <cell r="D2025">
            <v>1383</v>
          </cell>
        </row>
        <row r="2026">
          <cell r="D2026">
            <v>5798</v>
          </cell>
        </row>
        <row r="2027">
          <cell r="D2027">
            <v>1643</v>
          </cell>
        </row>
        <row r="2028">
          <cell r="D2028">
            <v>6095</v>
          </cell>
        </row>
        <row r="2029">
          <cell r="D2029">
            <v>1743</v>
          </cell>
        </row>
        <row r="2030">
          <cell r="D2030">
            <v>5809</v>
          </cell>
        </row>
        <row r="2031">
          <cell r="D2031">
            <v>2068</v>
          </cell>
        </row>
        <row r="2032">
          <cell r="D2032">
            <v>7235</v>
          </cell>
        </row>
        <row r="2033">
          <cell r="D2033">
            <v>1871</v>
          </cell>
        </row>
        <row r="2034">
          <cell r="D2034">
            <v>7624</v>
          </cell>
        </row>
        <row r="2035">
          <cell r="D2035">
            <v>1841</v>
          </cell>
        </row>
        <row r="2036">
          <cell r="D2036">
            <v>6440</v>
          </cell>
        </row>
        <row r="2037">
          <cell r="D2037">
            <v>552</v>
          </cell>
        </row>
        <row r="2038">
          <cell r="D2038">
            <v>2354</v>
          </cell>
        </row>
        <row r="2039">
          <cell r="D2039">
            <v>75</v>
          </cell>
        </row>
        <row r="2040">
          <cell r="D2040">
            <v>228</v>
          </cell>
        </row>
        <row r="2050">
          <cell r="D2050">
            <v>3</v>
          </cell>
        </row>
        <row r="2051">
          <cell r="D2051">
            <v>13</v>
          </cell>
        </row>
        <row r="2052">
          <cell r="D2052">
            <v>316</v>
          </cell>
        </row>
        <row r="2053">
          <cell r="D2053">
            <v>1357</v>
          </cell>
        </row>
        <row r="2054">
          <cell r="D2054">
            <v>1854</v>
          </cell>
        </row>
        <row r="2055">
          <cell r="D2055">
            <v>6741</v>
          </cell>
        </row>
        <row r="2056">
          <cell r="D2056">
            <v>1813</v>
          </cell>
        </row>
        <row r="2057">
          <cell r="D2057">
            <v>9171</v>
          </cell>
        </row>
        <row r="2058">
          <cell r="D2058">
            <v>2519</v>
          </cell>
        </row>
        <row r="2059">
          <cell r="D2059">
            <v>11363</v>
          </cell>
        </row>
        <row r="2060">
          <cell r="D2060">
            <v>2415</v>
          </cell>
        </row>
        <row r="2061">
          <cell r="D2061">
            <v>13034</v>
          </cell>
        </row>
        <row r="2062">
          <cell r="D2062">
            <v>2489</v>
          </cell>
        </row>
        <row r="2063">
          <cell r="D2063">
            <v>14103</v>
          </cell>
        </row>
        <row r="2064">
          <cell r="D2064">
            <v>2913</v>
          </cell>
        </row>
        <row r="2065">
          <cell r="D2065">
            <v>16713</v>
          </cell>
        </row>
        <row r="2066">
          <cell r="D2066">
            <v>2805</v>
          </cell>
        </row>
        <row r="2067">
          <cell r="D2067">
            <v>18387</v>
          </cell>
        </row>
        <row r="2068">
          <cell r="D2068">
            <v>2267</v>
          </cell>
        </row>
        <row r="2069">
          <cell r="D2069">
            <v>17279</v>
          </cell>
        </row>
        <row r="2070">
          <cell r="D2070">
            <v>909</v>
          </cell>
        </row>
        <row r="2071">
          <cell r="D2071">
            <v>7827</v>
          </cell>
        </row>
        <row r="2072">
          <cell r="D2072">
            <v>158</v>
          </cell>
        </row>
        <row r="2073">
          <cell r="D2073">
            <v>1698</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A_eff_age_2016"/>
    </sheetNames>
    <sheetDataSet>
      <sheetData sheetId="0">
        <row r="125">
          <cell r="F125">
            <v>148</v>
          </cell>
          <cell r="G125">
            <v>0</v>
          </cell>
          <cell r="H125">
            <v>148</v>
          </cell>
        </row>
        <row r="127">
          <cell r="F127">
            <v>1160</v>
          </cell>
          <cell r="G127">
            <v>2</v>
          </cell>
          <cell r="H127">
            <v>1162</v>
          </cell>
        </row>
        <row r="128">
          <cell r="F128">
            <v>1992</v>
          </cell>
          <cell r="G128">
            <v>12</v>
          </cell>
          <cell r="H128">
            <v>2004</v>
          </cell>
        </row>
        <row r="129">
          <cell r="F129">
            <v>2720</v>
          </cell>
          <cell r="G129">
            <v>0</v>
          </cell>
          <cell r="H129">
            <v>2720</v>
          </cell>
        </row>
        <row r="132">
          <cell r="F132">
            <v>9958</v>
          </cell>
          <cell r="G132">
            <v>80</v>
          </cell>
          <cell r="H132">
            <v>10038</v>
          </cell>
        </row>
        <row r="205">
          <cell r="B205">
            <v>216</v>
          </cell>
          <cell r="C205">
            <v>49</v>
          </cell>
        </row>
        <row r="207">
          <cell r="B207">
            <v>2376</v>
          </cell>
          <cell r="C207">
            <v>467</v>
          </cell>
        </row>
        <row r="208">
          <cell r="B208">
            <v>1595</v>
          </cell>
          <cell r="C208">
            <v>271</v>
          </cell>
        </row>
        <row r="209">
          <cell r="B209">
            <v>1082</v>
          </cell>
          <cell r="C209">
            <v>183</v>
          </cell>
        </row>
        <row r="210">
          <cell r="B210">
            <v>499</v>
          </cell>
          <cell r="C210">
            <v>128</v>
          </cell>
        </row>
        <row r="211">
          <cell r="B211">
            <v>65</v>
          </cell>
          <cell r="C211">
            <v>11</v>
          </cell>
        </row>
        <row r="212">
          <cell r="B212">
            <v>5833</v>
          </cell>
          <cell r="C212">
            <v>1109</v>
          </cell>
        </row>
        <row r="245">
          <cell r="I245">
            <v>0</v>
          </cell>
          <cell r="J245">
            <v>0</v>
          </cell>
        </row>
        <row r="247">
          <cell r="H247">
            <v>7.0153715600000002</v>
          </cell>
          <cell r="I247">
            <v>7.3383849300000001</v>
          </cell>
          <cell r="J247">
            <v>7.2892691300000001</v>
          </cell>
        </row>
        <row r="248">
          <cell r="H248">
            <v>14.799969900000001</v>
          </cell>
          <cell r="I248">
            <v>13.804989300000001</v>
          </cell>
          <cell r="J248">
            <v>14.0197064</v>
          </cell>
        </row>
        <row r="249">
          <cell r="H249">
            <v>10.889640099999999</v>
          </cell>
          <cell r="I249">
            <v>29.899675800000001</v>
          </cell>
          <cell r="J249">
            <v>25.461326499999998</v>
          </cell>
        </row>
        <row r="250">
          <cell r="H250">
            <v>25.466745899999999</v>
          </cell>
          <cell r="I250">
            <v>37.169347199999997</v>
          </cell>
          <cell r="J250">
            <v>34.4936936</v>
          </cell>
        </row>
        <row r="251">
          <cell r="H251">
            <v>10.2421316</v>
          </cell>
          <cell r="I251">
            <v>21.963875699999999</v>
          </cell>
          <cell r="J251">
            <v>19.044764000000001</v>
          </cell>
        </row>
        <row r="252">
          <cell r="H252">
            <v>15.0814907</v>
          </cell>
          <cell r="I252">
            <v>22.307086300000002</v>
          </cell>
          <cell r="J252">
            <v>20.783064299999999</v>
          </cell>
        </row>
        <row r="385">
          <cell r="B385">
            <v>10595428</v>
          </cell>
          <cell r="D385">
            <v>238140</v>
          </cell>
          <cell r="F385">
            <v>10833568</v>
          </cell>
        </row>
        <row r="387">
          <cell r="B387">
            <v>55544712.799999997</v>
          </cell>
          <cell r="D387">
            <v>3435538</v>
          </cell>
          <cell r="F387">
            <v>58980251</v>
          </cell>
        </row>
        <row r="388">
          <cell r="B388">
            <v>58482373.200000003</v>
          </cell>
          <cell r="D388">
            <v>5504577</v>
          </cell>
          <cell r="F388">
            <v>63986950</v>
          </cell>
        </row>
        <row r="389">
          <cell r="B389">
            <v>48338990.299999997</v>
          </cell>
          <cell r="D389">
            <v>6753420</v>
          </cell>
          <cell r="F389">
            <v>55092410</v>
          </cell>
        </row>
        <row r="392">
          <cell r="B392">
            <v>218172137</v>
          </cell>
          <cell r="D392">
            <v>22436869</v>
          </cell>
          <cell r="F392">
            <v>241000000</v>
          </cell>
        </row>
        <row r="465">
          <cell r="B465">
            <v>2896838</v>
          </cell>
          <cell r="D465">
            <v>1034498</v>
          </cell>
          <cell r="F465">
            <v>3931336</v>
          </cell>
        </row>
        <row r="467">
          <cell r="B467">
            <v>44856619</v>
          </cell>
          <cell r="D467">
            <v>18162738</v>
          </cell>
          <cell r="F467">
            <v>63019357</v>
          </cell>
        </row>
        <row r="468">
          <cell r="B468">
            <v>32201073</v>
          </cell>
          <cell r="D468">
            <v>12366452</v>
          </cell>
          <cell r="F468">
            <v>44567525</v>
          </cell>
        </row>
        <row r="469">
          <cell r="B469">
            <v>23405774</v>
          </cell>
          <cell r="D469">
            <v>10073017</v>
          </cell>
          <cell r="F469">
            <v>33478791</v>
          </cell>
        </row>
        <row r="470">
          <cell r="B470">
            <v>12663329</v>
          </cell>
          <cell r="D470">
            <v>5671775</v>
          </cell>
          <cell r="F470">
            <v>18335104</v>
          </cell>
        </row>
        <row r="471">
          <cell r="B471">
            <v>2207476</v>
          </cell>
          <cell r="F471">
            <v>2962475</v>
          </cell>
        </row>
        <row r="472">
          <cell r="B472">
            <v>118231109</v>
          </cell>
          <cell r="D472">
            <v>48063479</v>
          </cell>
          <cell r="F472">
            <v>166294588</v>
          </cell>
        </row>
        <row r="505">
          <cell r="G505">
            <v>52.596980000000002</v>
          </cell>
          <cell r="H505">
            <v>53.523287799999999</v>
          </cell>
        </row>
        <row r="507">
          <cell r="F507">
            <v>38.876849999999997</v>
          </cell>
          <cell r="G507">
            <v>71.339579999999998</v>
          </cell>
          <cell r="H507">
            <v>66.403463900000006</v>
          </cell>
        </row>
        <row r="508">
          <cell r="F508">
            <v>34.405119999999997</v>
          </cell>
          <cell r="G508">
            <v>53.421610000000001</v>
          </cell>
          <cell r="H508">
            <v>49.317843000000003</v>
          </cell>
        </row>
        <row r="509">
          <cell r="F509">
            <v>30.775069999999999</v>
          </cell>
          <cell r="G509">
            <v>53.50215</v>
          </cell>
          <cell r="H509">
            <v>48.195969699999999</v>
          </cell>
        </row>
        <row r="510">
          <cell r="F510">
            <v>30.946929999999998</v>
          </cell>
          <cell r="G510">
            <v>44.144570000000002</v>
          </cell>
          <cell r="H510">
            <v>41.127096199999997</v>
          </cell>
        </row>
        <row r="511">
          <cell r="F511">
            <v>14.338979999999999</v>
          </cell>
          <cell r="G511">
            <v>37.58766</v>
          </cell>
          <cell r="H511">
            <v>31.7979542</v>
          </cell>
        </row>
        <row r="512">
          <cell r="F512">
            <v>31.965730000000001</v>
          </cell>
          <cell r="G512">
            <v>54.345610000000001</v>
          </cell>
          <cell r="H512">
            <v>49.625246400000002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A_eff_age_2019"/>
    </sheetNames>
    <sheetDataSet>
      <sheetData sheetId="0" refreshError="1">
        <row r="125">
          <cell r="F125">
            <v>160</v>
          </cell>
          <cell r="G125">
            <v>0</v>
          </cell>
          <cell r="H125">
            <v>160</v>
          </cell>
        </row>
        <row r="127">
          <cell r="F127">
            <v>764</v>
          </cell>
          <cell r="G127">
            <v>25</v>
          </cell>
          <cell r="H127">
            <v>789</v>
          </cell>
        </row>
        <row r="128">
          <cell r="F128">
            <v>1845</v>
          </cell>
          <cell r="G128">
            <v>16</v>
          </cell>
          <cell r="H128">
            <v>1861</v>
          </cell>
        </row>
        <row r="129">
          <cell r="F129">
            <v>2879</v>
          </cell>
          <cell r="G129">
            <v>36</v>
          </cell>
          <cell r="H129">
            <v>2915</v>
          </cell>
        </row>
        <row r="132">
          <cell r="F132">
            <v>9696</v>
          </cell>
          <cell r="G132">
            <v>108</v>
          </cell>
          <cell r="H132">
            <v>9804</v>
          </cell>
        </row>
        <row r="245">
          <cell r="I245">
            <v>0</v>
          </cell>
          <cell r="J245">
            <v>0</v>
          </cell>
        </row>
        <row r="247">
          <cell r="H247">
            <v>2.4251361299999998</v>
          </cell>
          <cell r="I247">
            <v>9.0177130099999996</v>
          </cell>
          <cell r="J247">
            <v>7.9841678700000003</v>
          </cell>
        </row>
        <row r="248">
          <cell r="H248">
            <v>11.647653200000001</v>
          </cell>
          <cell r="I248">
            <v>18.417120300000001</v>
          </cell>
          <cell r="J248">
            <v>16.999198</v>
          </cell>
        </row>
        <row r="249">
          <cell r="H249">
            <v>14.898646400000001</v>
          </cell>
          <cell r="I249">
            <v>34.084972</v>
          </cell>
          <cell r="J249">
            <v>29.556074299999999</v>
          </cell>
        </row>
        <row r="250">
          <cell r="H250">
            <v>25.848738000000001</v>
          </cell>
          <cell r="I250">
            <v>32.008635699999999</v>
          </cell>
          <cell r="J250">
            <v>30.583608099999999</v>
          </cell>
        </row>
        <row r="251">
          <cell r="H251">
            <v>55.824575000000003</v>
          </cell>
          <cell r="I251">
            <v>50.123576200000002</v>
          </cell>
          <cell r="J251">
            <v>51.558223699999999</v>
          </cell>
        </row>
        <row r="252">
          <cell r="H252">
            <v>18.384263099999998</v>
          </cell>
          <cell r="I252">
            <v>25.310717799999999</v>
          </cell>
          <cell r="J252">
            <v>23.833184200000002</v>
          </cell>
        </row>
        <row r="385">
          <cell r="B385">
            <v>11700976</v>
          </cell>
          <cell r="D385">
            <v>365603</v>
          </cell>
          <cell r="F385">
            <v>12066579.029999999</v>
          </cell>
        </row>
        <row r="387">
          <cell r="B387">
            <v>54173408.100000001</v>
          </cell>
          <cell r="D387">
            <v>4135412.4</v>
          </cell>
          <cell r="F387">
            <v>58308820.509999998</v>
          </cell>
        </row>
        <row r="388">
          <cell r="B388">
            <v>64068729.899999999</v>
          </cell>
          <cell r="D388">
            <v>6902841.2000000002</v>
          </cell>
          <cell r="F388">
            <v>70971571.129999995</v>
          </cell>
        </row>
        <row r="389">
          <cell r="B389">
            <v>48850064.5</v>
          </cell>
          <cell r="D389">
            <v>7089798.9299999997</v>
          </cell>
          <cell r="F389">
            <v>55939863.469999999</v>
          </cell>
        </row>
        <row r="392">
          <cell r="B392">
            <v>228579912</v>
          </cell>
          <cell r="D392">
            <v>26487059</v>
          </cell>
          <cell r="F392">
            <v>255066970.59999999</v>
          </cell>
          <cell r="G392">
            <v>141562.53</v>
          </cell>
        </row>
        <row r="465">
          <cell r="B465">
            <v>4290876.8</v>
          </cell>
          <cell r="D465">
            <v>1560763.53</v>
          </cell>
          <cell r="F465">
            <v>5851640.3300000001</v>
          </cell>
        </row>
        <row r="467">
          <cell r="D467">
            <v>22004772.5</v>
          </cell>
          <cell r="F467">
            <v>71261896</v>
          </cell>
        </row>
        <row r="468">
          <cell r="D468">
            <v>14467480</v>
          </cell>
          <cell r="F468">
            <v>50791453.5</v>
          </cell>
        </row>
        <row r="469">
          <cell r="D469">
            <v>12019457</v>
          </cell>
          <cell r="F469">
            <v>40492951.5</v>
          </cell>
        </row>
        <row r="470">
          <cell r="D470">
            <v>7859885.0499999998</v>
          </cell>
          <cell r="F470">
            <v>26379093.050000001</v>
          </cell>
        </row>
        <row r="471">
          <cell r="D471">
            <v>1205592.21</v>
          </cell>
          <cell r="F471">
            <v>5190587.1400000006</v>
          </cell>
        </row>
        <row r="472">
          <cell r="B472">
            <v>140849671</v>
          </cell>
          <cell r="D472">
            <v>59117950.200000003</v>
          </cell>
          <cell r="F472">
            <v>199967621.19999999</v>
          </cell>
        </row>
        <row r="505">
          <cell r="G505">
            <v>63.5</v>
          </cell>
          <cell r="H505">
            <v>60</v>
          </cell>
        </row>
        <row r="507">
          <cell r="G507">
            <v>66.7</v>
          </cell>
          <cell r="H507">
            <v>62.6</v>
          </cell>
        </row>
        <row r="508">
          <cell r="F508">
            <v>33.799999999999997</v>
          </cell>
          <cell r="G508">
            <v>52.9</v>
          </cell>
          <cell r="H508">
            <v>48.9</v>
          </cell>
        </row>
        <row r="509">
          <cell r="F509">
            <v>33</v>
          </cell>
          <cell r="H509">
            <v>47</v>
          </cell>
        </row>
        <row r="510">
          <cell r="F510">
            <v>28.3</v>
          </cell>
          <cell r="H510">
            <v>43.5</v>
          </cell>
        </row>
        <row r="511">
          <cell r="F511">
            <v>28.8</v>
          </cell>
          <cell r="H511">
            <v>37.700000000000003</v>
          </cell>
        </row>
        <row r="512">
          <cell r="F512">
            <v>32.700000000000003</v>
          </cell>
          <cell r="G512">
            <v>53.6</v>
          </cell>
          <cell r="H512">
            <v>49.1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A_eff_age_2019.JP"/>
    </sheetNames>
    <sheetDataSet>
      <sheetData sheetId="0">
        <row r="127">
          <cell r="I127">
            <v>1763</v>
          </cell>
        </row>
        <row r="128">
          <cell r="I128">
            <v>3234</v>
          </cell>
        </row>
        <row r="129">
          <cell r="I129">
            <v>1490</v>
          </cell>
        </row>
        <row r="387">
          <cell r="D387">
            <v>4135412.4</v>
          </cell>
        </row>
        <row r="388">
          <cell r="D388">
            <v>6902841.2000000002</v>
          </cell>
        </row>
        <row r="389">
          <cell r="D389">
            <v>7089798.9299999997</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807"/>
  <sheetViews>
    <sheetView showGridLines="0" tabSelected="1" topLeftCell="A428" zoomScaleNormal="100" workbookViewId="0">
      <selection activeCell="P443" sqref="P443"/>
    </sheetView>
  </sheetViews>
  <sheetFormatPr baseColWidth="10" defaultRowHeight="15" x14ac:dyDescent="0.25"/>
  <cols>
    <col min="1" max="1" width="6.5703125" customWidth="1"/>
    <col min="2" max="2" width="19.5703125" customWidth="1"/>
    <col min="3" max="3" width="14" customWidth="1"/>
    <col min="4" max="4" width="12.140625" customWidth="1"/>
    <col min="5" max="5" width="12.85546875" customWidth="1"/>
    <col min="6" max="6" width="12.140625" customWidth="1"/>
    <col min="7" max="7" width="11.42578125" customWidth="1"/>
    <col min="12" max="14" width="11.42578125" customWidth="1"/>
  </cols>
  <sheetData>
    <row r="1" spans="2:14" ht="24" customHeight="1" thickBot="1" x14ac:dyDescent="0.3">
      <c r="C1" s="1"/>
      <c r="D1" s="159" t="s">
        <v>0</v>
      </c>
      <c r="E1" s="160"/>
      <c r="F1" s="160"/>
      <c r="G1" s="160"/>
      <c r="H1" s="160"/>
      <c r="I1" s="160"/>
      <c r="J1" s="160"/>
      <c r="K1" s="160"/>
      <c r="L1" s="161"/>
    </row>
    <row r="6" spans="2:14" x14ac:dyDescent="0.25">
      <c r="B6" s="2" t="s">
        <v>1</v>
      </c>
    </row>
    <row r="7" spans="2:14" ht="15.75" customHeight="1" x14ac:dyDescent="0.25">
      <c r="B7" s="2"/>
    </row>
    <row r="8" spans="2:14" x14ac:dyDescent="0.25">
      <c r="B8" s="3" t="s">
        <v>37</v>
      </c>
      <c r="C8" s="4"/>
      <c r="D8" s="4"/>
    </row>
    <row r="9" spans="2:14" x14ac:dyDescent="0.25">
      <c r="B9" s="2"/>
    </row>
    <row r="10" spans="2:14" ht="15.75" thickBot="1" x14ac:dyDescent="0.3">
      <c r="B10" s="2"/>
      <c r="C10" s="132" t="s">
        <v>38</v>
      </c>
      <c r="D10" s="132"/>
      <c r="E10" s="132"/>
      <c r="F10" s="132"/>
      <c r="G10" s="132"/>
      <c r="H10" s="132"/>
      <c r="I10" s="132"/>
      <c r="J10" s="132"/>
      <c r="K10" s="132"/>
      <c r="L10" s="132"/>
      <c r="M10" s="132"/>
      <c r="N10" s="132"/>
    </row>
    <row r="11" spans="2:14" ht="23.1" customHeight="1" thickBot="1" x14ac:dyDescent="0.3">
      <c r="C11" s="144" t="s">
        <v>39</v>
      </c>
      <c r="D11" s="145"/>
      <c r="E11" s="145"/>
      <c r="F11" s="146"/>
      <c r="G11" s="5" t="s">
        <v>4</v>
      </c>
      <c r="H11" s="6"/>
      <c r="I11" s="6"/>
      <c r="J11" s="6"/>
      <c r="K11" s="6"/>
      <c r="L11" s="7"/>
      <c r="M11" s="7"/>
      <c r="N11" s="8"/>
    </row>
    <row r="12" spans="2:14" x14ac:dyDescent="0.25">
      <c r="B12" s="147"/>
      <c r="C12" s="149" t="s">
        <v>5</v>
      </c>
      <c r="D12" s="150"/>
      <c r="E12" s="150" t="s">
        <v>6</v>
      </c>
      <c r="F12" s="151"/>
      <c r="G12" s="9">
        <v>2016</v>
      </c>
      <c r="H12" s="9"/>
      <c r="I12" s="9"/>
      <c r="J12" s="10">
        <v>2019</v>
      </c>
      <c r="K12" s="10"/>
      <c r="L12" s="10"/>
      <c r="M12" s="10"/>
      <c r="N12" s="10"/>
    </row>
    <row r="13" spans="2:14" ht="15.75" thickBot="1" x14ac:dyDescent="0.3">
      <c r="B13" s="148"/>
      <c r="C13" s="11" t="s">
        <v>7</v>
      </c>
      <c r="D13" s="12" t="s">
        <v>8</v>
      </c>
      <c r="E13" s="12" t="s">
        <v>7</v>
      </c>
      <c r="F13" s="13" t="s">
        <v>8</v>
      </c>
      <c r="G13" s="14" t="s">
        <v>7</v>
      </c>
      <c r="H13" s="15" t="s">
        <v>8</v>
      </c>
      <c r="I13" s="16" t="s">
        <v>9</v>
      </c>
      <c r="J13" s="90" t="s">
        <v>7</v>
      </c>
      <c r="K13" s="91"/>
      <c r="L13" s="92" t="s">
        <v>8</v>
      </c>
      <c r="M13" s="92"/>
      <c r="N13" s="17" t="s">
        <v>9</v>
      </c>
    </row>
    <row r="14" spans="2:14" ht="15.75" thickBot="1" x14ac:dyDescent="0.3">
      <c r="B14" s="18"/>
      <c r="C14" s="19">
        <v>0.47</v>
      </c>
      <c r="D14" s="20">
        <v>0.53</v>
      </c>
      <c r="E14" s="19">
        <v>1</v>
      </c>
      <c r="F14" s="20">
        <v>1</v>
      </c>
      <c r="G14" s="21">
        <f>SUM(G15:G20)</f>
        <v>29529</v>
      </c>
      <c r="H14" s="22">
        <f>SUM(H15:H20)</f>
        <v>57836</v>
      </c>
      <c r="I14" s="23">
        <f>SUM(I15:I20)</f>
        <v>87365</v>
      </c>
      <c r="J14" s="21">
        <f>SUM(J15:J20)</f>
        <v>31712</v>
      </c>
      <c r="K14" s="24">
        <v>1</v>
      </c>
      <c r="L14" s="25">
        <f>SUM(L15:L20)</f>
        <v>59850</v>
      </c>
      <c r="M14" s="24">
        <v>1</v>
      </c>
      <c r="N14" s="23">
        <f>SUM(N15:N20)</f>
        <v>91562</v>
      </c>
    </row>
    <row r="15" spans="2:14" x14ac:dyDescent="0.25">
      <c r="B15" s="26" t="s">
        <v>10</v>
      </c>
      <c r="C15" s="27">
        <v>0.36</v>
      </c>
      <c r="D15" s="28">
        <v>0.64</v>
      </c>
      <c r="E15" s="29">
        <v>0.02</v>
      </c>
      <c r="F15" s="30">
        <v>0.03</v>
      </c>
      <c r="G15" s="31">
        <f>[1]ARA_eff_age_2016!$C$7</f>
        <v>762</v>
      </c>
      <c r="H15" s="32">
        <f>[1]ARA_eff_age_2016!$B$7</f>
        <v>2424</v>
      </c>
      <c r="I15" s="33">
        <f t="shared" ref="I15:I20" si="0">G15+H15</f>
        <v>3186</v>
      </c>
      <c r="J15" s="31">
        <f>[2]ARA_eff_age_2019!$C$7</f>
        <v>895</v>
      </c>
      <c r="K15" s="34">
        <f t="shared" ref="K15:K20" si="1">J15/$J$14</f>
        <v>2.8222754793138245E-2</v>
      </c>
      <c r="L15" s="35">
        <f>[2]ARA_eff_age_2019!$B$7</f>
        <v>2657</v>
      </c>
      <c r="M15" s="34">
        <f t="shared" ref="M15:M20" si="2">L15/$L$14</f>
        <v>4.4394319131161236E-2</v>
      </c>
      <c r="N15" s="33">
        <f t="shared" ref="N15:N20" si="3">J15+L15</f>
        <v>3552</v>
      </c>
    </row>
    <row r="16" spans="2:14" x14ac:dyDescent="0.25">
      <c r="B16" s="26" t="s">
        <v>11</v>
      </c>
      <c r="C16" s="27">
        <v>0.45</v>
      </c>
      <c r="D16" s="28">
        <v>0.55000000000000004</v>
      </c>
      <c r="E16" s="29">
        <v>0.2</v>
      </c>
      <c r="F16" s="30">
        <v>0.21</v>
      </c>
      <c r="G16" s="31">
        <f>[1]ARA_eff_age_2016!$C9</f>
        <v>8527</v>
      </c>
      <c r="H16" s="32">
        <f>[1]ARA_eff_age_2016!$B9</f>
        <v>16261</v>
      </c>
      <c r="I16" s="33">
        <f t="shared" si="0"/>
        <v>24788</v>
      </c>
      <c r="J16" s="31">
        <f>[2]ARA_eff_age_2019!$C9</f>
        <v>8786</v>
      </c>
      <c r="K16" s="34">
        <f t="shared" si="1"/>
        <v>0.27705600403632696</v>
      </c>
      <c r="L16" s="35">
        <f>[2]ARA_eff_age_2019!$B9</f>
        <v>16164</v>
      </c>
      <c r="M16" s="34">
        <f t="shared" si="2"/>
        <v>0.2700751879699248</v>
      </c>
      <c r="N16" s="33">
        <f t="shared" si="3"/>
        <v>24950</v>
      </c>
    </row>
    <row r="17" spans="2:14" x14ac:dyDescent="0.25">
      <c r="B17" s="26" t="s">
        <v>12</v>
      </c>
      <c r="C17" s="27">
        <v>0.46</v>
      </c>
      <c r="D17" s="28">
        <v>0.54</v>
      </c>
      <c r="E17" s="29">
        <v>0.24</v>
      </c>
      <c r="F17" s="30">
        <v>0.25</v>
      </c>
      <c r="G17" s="31">
        <f>[1]ARA_eff_age_2016!$C10</f>
        <v>6447</v>
      </c>
      <c r="H17" s="32">
        <f>[1]ARA_eff_age_2016!$B10</f>
        <v>15232</v>
      </c>
      <c r="I17" s="33">
        <f t="shared" si="0"/>
        <v>21679</v>
      </c>
      <c r="J17" s="31">
        <f>[2]ARA_eff_age_2019!$C10</f>
        <v>7208</v>
      </c>
      <c r="K17" s="34">
        <f t="shared" si="1"/>
        <v>0.22729566094853684</v>
      </c>
      <c r="L17" s="35">
        <f>[2]ARA_eff_age_2019!$B10</f>
        <v>15736</v>
      </c>
      <c r="M17" s="34">
        <f t="shared" si="2"/>
        <v>0.26292397660818712</v>
      </c>
      <c r="N17" s="33">
        <f t="shared" si="3"/>
        <v>22944</v>
      </c>
    </row>
    <row r="18" spans="2:14" x14ac:dyDescent="0.25">
      <c r="B18" s="26" t="s">
        <v>13</v>
      </c>
      <c r="C18" s="27">
        <v>0.47</v>
      </c>
      <c r="D18" s="28">
        <v>0.53</v>
      </c>
      <c r="E18" s="29">
        <v>0.25</v>
      </c>
      <c r="F18" s="30">
        <v>0.25</v>
      </c>
      <c r="G18" s="31">
        <f>[1]ARA_eff_age_2016!$C11</f>
        <v>6750</v>
      </c>
      <c r="H18" s="32">
        <f>[1]ARA_eff_age_2016!$B11</f>
        <v>12923</v>
      </c>
      <c r="I18" s="33">
        <f t="shared" si="0"/>
        <v>19673</v>
      </c>
      <c r="J18" s="31">
        <f>[2]ARA_eff_age_2019!$C11</f>
        <v>6745</v>
      </c>
      <c r="K18" s="34">
        <f t="shared" si="1"/>
        <v>0.21269550958627648</v>
      </c>
      <c r="L18" s="35">
        <f>[2]ARA_eff_age_2019!$B11</f>
        <v>12806</v>
      </c>
      <c r="M18" s="34">
        <f t="shared" si="2"/>
        <v>0.21396825396825397</v>
      </c>
      <c r="N18" s="33">
        <f t="shared" si="3"/>
        <v>19551</v>
      </c>
    </row>
    <row r="19" spans="2:14" x14ac:dyDescent="0.25">
      <c r="B19" s="26" t="s">
        <v>14</v>
      </c>
      <c r="C19" s="27">
        <v>0.49</v>
      </c>
      <c r="D19" s="28">
        <v>0.51</v>
      </c>
      <c r="E19" s="29">
        <v>0.24</v>
      </c>
      <c r="F19" s="30">
        <v>0.22</v>
      </c>
      <c r="G19" s="31">
        <f>[1]ARA_eff_age_2016!$C12</f>
        <v>6012</v>
      </c>
      <c r="H19" s="32">
        <f>[1]ARA_eff_age_2016!$B12</f>
        <v>9820</v>
      </c>
      <c r="I19" s="33">
        <f t="shared" si="0"/>
        <v>15832</v>
      </c>
      <c r="J19" s="31">
        <f>[2]ARA_eff_age_2019!$C12</f>
        <v>6788</v>
      </c>
      <c r="K19" s="34">
        <f t="shared" si="1"/>
        <v>0.21405146316851664</v>
      </c>
      <c r="L19" s="35">
        <f>[2]ARA_eff_age_2019!$B12</f>
        <v>10881</v>
      </c>
      <c r="M19" s="34">
        <f t="shared" si="2"/>
        <v>0.1818045112781955</v>
      </c>
      <c r="N19" s="33">
        <f t="shared" si="3"/>
        <v>17669</v>
      </c>
    </row>
    <row r="20" spans="2:14" ht="15.75" thickBot="1" x14ac:dyDescent="0.3">
      <c r="B20" s="36" t="s">
        <v>15</v>
      </c>
      <c r="C20" s="37">
        <v>0.56999999999999995</v>
      </c>
      <c r="D20" s="38">
        <v>0.43</v>
      </c>
      <c r="E20" s="37">
        <v>0.05</v>
      </c>
      <c r="F20" s="38">
        <v>0.03</v>
      </c>
      <c r="G20" s="93">
        <f>[1]ARA_eff_age_2016!$C13</f>
        <v>1031</v>
      </c>
      <c r="H20" s="94">
        <f>[1]ARA_eff_age_2016!$B13</f>
        <v>1176</v>
      </c>
      <c r="I20" s="82">
        <f t="shared" si="0"/>
        <v>2207</v>
      </c>
      <c r="J20" s="93">
        <f>[2]ARA_eff_age_2019!$C13</f>
        <v>1290</v>
      </c>
      <c r="K20" s="42">
        <f t="shared" si="1"/>
        <v>4.0678607467204843E-2</v>
      </c>
      <c r="L20" s="97">
        <f>[2]ARA_eff_age_2019!$B13</f>
        <v>1606</v>
      </c>
      <c r="M20" s="42">
        <f t="shared" si="2"/>
        <v>2.6833751044277359E-2</v>
      </c>
      <c r="N20" s="82">
        <f t="shared" si="3"/>
        <v>2896</v>
      </c>
    </row>
    <row r="21" spans="2:14" x14ac:dyDescent="0.25">
      <c r="B21" s="44" t="s">
        <v>87</v>
      </c>
      <c r="C21" s="45"/>
      <c r="D21" s="45"/>
      <c r="E21" s="45"/>
      <c r="F21" s="45"/>
      <c r="G21" s="46"/>
      <c r="H21" s="46"/>
      <c r="I21" s="46"/>
      <c r="J21" s="46"/>
      <c r="K21" s="46"/>
      <c r="L21" s="46"/>
    </row>
    <row r="22" spans="2:14" ht="14.45" customHeight="1" x14ac:dyDescent="0.25">
      <c r="B22" s="133" t="s">
        <v>88</v>
      </c>
      <c r="C22" s="133"/>
      <c r="D22" s="133"/>
      <c r="E22" s="133"/>
      <c r="F22" s="133"/>
      <c r="G22" s="133"/>
      <c r="H22" s="133"/>
      <c r="I22" s="133"/>
      <c r="J22" s="133"/>
      <c r="K22" s="89"/>
      <c r="L22" s="46"/>
      <c r="N22" s="131"/>
    </row>
    <row r="23" spans="2:14" x14ac:dyDescent="0.25">
      <c r="B23" s="113" t="s">
        <v>74</v>
      </c>
      <c r="C23" s="48"/>
      <c r="D23" s="48"/>
      <c r="E23" s="48"/>
      <c r="F23" s="48"/>
      <c r="G23" s="48"/>
      <c r="H23" s="48"/>
      <c r="I23" s="48"/>
      <c r="J23" s="48"/>
      <c r="K23" s="48"/>
    </row>
    <row r="25" spans="2:14" ht="15.75" thickBot="1" x14ac:dyDescent="0.3">
      <c r="C25" s="132" t="s">
        <v>38</v>
      </c>
      <c r="D25" s="132"/>
      <c r="E25" s="132"/>
      <c r="F25" s="132"/>
      <c r="G25" s="132"/>
      <c r="H25" s="132"/>
      <c r="I25" s="132"/>
      <c r="J25" s="132"/>
      <c r="K25" s="132"/>
      <c r="L25" s="132"/>
      <c r="M25" s="132"/>
      <c r="N25" s="132"/>
    </row>
    <row r="26" spans="2:14" ht="30.95" customHeight="1" x14ac:dyDescent="0.25">
      <c r="B26" s="49"/>
      <c r="C26" s="50" t="s">
        <v>17</v>
      </c>
      <c r="D26" s="51"/>
      <c r="E26" s="51"/>
      <c r="F26" s="51"/>
      <c r="G26" s="52"/>
      <c r="H26" s="51"/>
      <c r="I26" s="50" t="s">
        <v>18</v>
      </c>
      <c r="J26" s="51"/>
      <c r="K26" s="51"/>
      <c r="L26" s="51"/>
      <c r="M26" s="52"/>
      <c r="N26" s="52"/>
    </row>
    <row r="27" spans="2:14" x14ac:dyDescent="0.25">
      <c r="B27" s="53"/>
      <c r="C27" s="9">
        <v>2016</v>
      </c>
      <c r="D27" s="9"/>
      <c r="E27" s="9"/>
      <c r="F27" s="10">
        <v>2019</v>
      </c>
      <c r="G27" s="10"/>
      <c r="H27" s="10"/>
      <c r="I27" s="9">
        <v>2016</v>
      </c>
      <c r="J27" s="9"/>
      <c r="K27" s="9"/>
      <c r="L27" s="10">
        <v>2019</v>
      </c>
      <c r="M27" s="10"/>
      <c r="N27" s="10"/>
    </row>
    <row r="28" spans="2:14" ht="15.75" thickBot="1" x14ac:dyDescent="0.3">
      <c r="B28" s="54"/>
      <c r="C28" s="14" t="s">
        <v>7</v>
      </c>
      <c r="D28" s="15" t="s">
        <v>8</v>
      </c>
      <c r="E28" s="16" t="s">
        <v>9</v>
      </c>
      <c r="F28" s="55" t="s">
        <v>7</v>
      </c>
      <c r="G28" s="55" t="s">
        <v>8</v>
      </c>
      <c r="H28" s="17" t="s">
        <v>9</v>
      </c>
      <c r="I28" s="14" t="s">
        <v>7</v>
      </c>
      <c r="J28" s="15" t="s">
        <v>8</v>
      </c>
      <c r="K28" s="16" t="s">
        <v>9</v>
      </c>
      <c r="L28" s="55" t="s">
        <v>7</v>
      </c>
      <c r="M28" s="55" t="s">
        <v>8</v>
      </c>
      <c r="N28" s="17" t="s">
        <v>9</v>
      </c>
    </row>
    <row r="29" spans="2:14" ht="15.75" thickBot="1" x14ac:dyDescent="0.3">
      <c r="B29" s="18"/>
      <c r="C29" s="56">
        <v>27.220452581820965</v>
      </c>
      <c r="D29" s="57">
        <v>45.626899604585532</v>
      </c>
      <c r="E29" s="57">
        <v>36.983056935628817</v>
      </c>
      <c r="F29" s="56">
        <f>J14/[2]ARA_eff_age_2019!$G$32*1000</f>
        <v>34.001902313795576</v>
      </c>
      <c r="G29" s="57">
        <f>L14/[2]ARA_eff_age_2019!$E$32*1000</f>
        <v>46.749415866634578</v>
      </c>
      <c r="H29" s="58">
        <f>N14/[2]ARA_eff_age_2019!$I$32*1000</f>
        <v>41.376780956757067</v>
      </c>
      <c r="I29" s="56">
        <f>G14/[1]ARA_eff_age_2016!$D$32*1000000</f>
        <v>18.678220309060134</v>
      </c>
      <c r="J29" s="57">
        <f>H14/[1]ARA_eff_age_2016!$B$32*1000000</f>
        <v>25.901079899390275</v>
      </c>
      <c r="K29" s="58">
        <f>I14/[1]ARA_eff_age_2016!$F$32*1000000</f>
        <v>22.907062388371465</v>
      </c>
      <c r="L29" s="57">
        <f>J14/[1]ARA_eff_age_2016!$D$32*1000000</f>
        <v>20.059051184967828</v>
      </c>
      <c r="M29" s="57">
        <f>L14/[2]ARA_eff_age_2019!$D$32*1000000</f>
        <v>25.701633476484016</v>
      </c>
      <c r="N29" s="58">
        <f>N14/[2]ARA_eff_age_2019!$H$32*1000000</f>
        <v>23.011623284217201</v>
      </c>
    </row>
    <row r="30" spans="2:14" x14ac:dyDescent="0.25">
      <c r="B30" s="26" t="s">
        <v>10</v>
      </c>
      <c r="C30" s="59">
        <v>46.70570256022804</v>
      </c>
      <c r="D30" s="60">
        <v>68.244562864342583</v>
      </c>
      <c r="E30" s="61">
        <v>60.609264852226445</v>
      </c>
      <c r="F30" s="59">
        <f>J15/[2]ARA_eff_age_2019!$G$25*1000</f>
        <v>59.007902443784261</v>
      </c>
      <c r="G30" s="60">
        <f>L15/[2]ARA_eff_age_2019!$E$25*1000</f>
        <v>84.342592818912294</v>
      </c>
      <c r="H30" s="61">
        <f>N15/[2]ARA_eff_age_2019!$I$25*1000</f>
        <v>76.108963523193623</v>
      </c>
      <c r="I30" s="59">
        <f>G15/[1]ARA_eff_age_2016!$D$25*1000000</f>
        <v>34.625060128098184</v>
      </c>
      <c r="J30" s="60">
        <f>H15/[1]ARA_eff_age_2016!$B$25*1000000</f>
        <v>52.103325709711136</v>
      </c>
      <c r="K30" s="61">
        <f>I15/[1]ARA_eff_age_2016!$F$25*1000000</f>
        <v>46.490503942470617</v>
      </c>
      <c r="L30" s="59">
        <f>J15/[2]ARA_eff_age_2019!$F$25*1000000</f>
        <v>33.613141516993075</v>
      </c>
      <c r="M30" s="60">
        <f>L15/[2]ARA_eff_age_2019!$D$25*1000000</f>
        <v>47.291050110564946</v>
      </c>
      <c r="N30" s="61">
        <f>N15/[2]ARA_eff_age_2019!$H$25*1000000</f>
        <v>42.893120134448289</v>
      </c>
    </row>
    <row r="31" spans="2:14" x14ac:dyDescent="0.25">
      <c r="B31" s="26" t="s">
        <v>11</v>
      </c>
      <c r="C31" s="59">
        <v>39.207133760594829</v>
      </c>
      <c r="D31" s="60">
        <v>60.495619831698697</v>
      </c>
      <c r="E31" s="61">
        <v>50.830547518958397</v>
      </c>
      <c r="F31" s="59">
        <f>J16/[2]ARA_eff_age_2019!$G27*1000</f>
        <v>41.980388765348451</v>
      </c>
      <c r="G31" s="60">
        <f>L16/[2]ARA_eff_age_2019!$E$27*1000</f>
        <v>59.130530976364909</v>
      </c>
      <c r="H31" s="61">
        <f>N16/[2]ARA_eff_age_2019!$I27*1000</f>
        <v>51.693825366282347</v>
      </c>
      <c r="I31" s="59">
        <f>G16/[1]ARA_eff_age_2016!$D27*1000000</f>
        <v>24.259994143858759</v>
      </c>
      <c r="J31" s="60">
        <f>H16/[1]ARA_eff_age_2016!$D27*1000000</f>
        <v>46.263840128214767</v>
      </c>
      <c r="K31" s="61">
        <f>I16/[1]ARA_eff_age_2016!$F27*1000000</f>
        <v>30.136770568589373</v>
      </c>
      <c r="L31" s="59">
        <f>J16/[2]ARA_eff_age_2019!$F27*1000000</f>
        <v>23.576358522855756</v>
      </c>
      <c r="M31" s="60">
        <f>L16/[2]ARA_eff_age_2019!$D27*1000000</f>
        <v>32.133892139676639</v>
      </c>
      <c r="N31" s="61">
        <f>N16/[2]ARA_eff_age_2019!$H27*1000000</f>
        <v>28.492086308753152</v>
      </c>
    </row>
    <row r="32" spans="2:14" x14ac:dyDescent="0.25">
      <c r="B32" s="26" t="s">
        <v>12</v>
      </c>
      <c r="C32" s="59">
        <v>24.715592440076531</v>
      </c>
      <c r="D32" s="60">
        <v>47.964974134320983</v>
      </c>
      <c r="E32" s="61">
        <v>37.259369279241447</v>
      </c>
      <c r="F32" s="59">
        <f>J17/[2]ARA_eff_age_2019!$G28*1000</f>
        <v>31.207705289809955</v>
      </c>
      <c r="G32" s="60">
        <f>L17/[2]ARA_eff_age_2019!$E$27*1000</f>
        <v>57.564837629551981</v>
      </c>
      <c r="H32" s="61">
        <f>N17/[2]ARA_eff_age_2019!$I28*1000</f>
        <v>41.221996477014102</v>
      </c>
      <c r="I32" s="59">
        <f>G17/[1]ARA_eff_age_2016!$D28*1000000</f>
        <v>16.664472610191911</v>
      </c>
      <c r="J32" s="60">
        <f>H17/[1]ARA_eff_age_2016!$D28*1000000</f>
        <v>39.37230445144148</v>
      </c>
      <c r="K32" s="61">
        <f>I17/[1]ARA_eff_age_2016!$F28*1000000</f>
        <v>22.670827932915856</v>
      </c>
      <c r="L32" s="59">
        <f>J17/[2]ARA_eff_age_2019!$F28*1000000</f>
        <v>17.698722088915151</v>
      </c>
      <c r="M32" s="60">
        <f>L17/[2]ARA_eff_age_2019!$D28*1000000</f>
        <v>26.27629378306446</v>
      </c>
      <c r="N32" s="61">
        <f>N17/[2]ARA_eff_age_2019!$H28*1000000</f>
        <v>22.804259080622622</v>
      </c>
    </row>
    <row r="33" spans="2:14" x14ac:dyDescent="0.25">
      <c r="B33" s="26" t="s">
        <v>13</v>
      </c>
      <c r="C33" s="59">
        <v>24.061780027808968</v>
      </c>
      <c r="D33" s="60">
        <v>39.732334620116028</v>
      </c>
      <c r="E33" s="61">
        <v>32.320380203037708</v>
      </c>
      <c r="F33" s="59">
        <f>J18/[2]ARA_eff_age_2019!$G29*1000</f>
        <v>29.849425249206192</v>
      </c>
      <c r="G33" s="60">
        <f>L18/[2]ARA_eff_age_2019!$E$27*1000</f>
        <v>46.846422895528896</v>
      </c>
      <c r="H33" s="61">
        <f>N18/[2]ARA_eff_age_2019!$I29*1000</f>
        <v>36.539304206873581</v>
      </c>
      <c r="I33" s="59">
        <f>G18/[1]ARA_eff_age_2016!$D29*1000000</f>
        <v>16.706444339384422</v>
      </c>
      <c r="J33" s="60">
        <f>H18/[1]ARA_eff_age_2016!$D29*1000000</f>
        <v>31.984797066350353</v>
      </c>
      <c r="K33" s="61">
        <f>I18/[1]ARA_eff_age_2016!$F29*1000000</f>
        <v>20.185259269169197</v>
      </c>
      <c r="L33" s="59">
        <f>J18/[2]ARA_eff_age_2019!$F29*1000000</f>
        <v>16.725747860261063</v>
      </c>
      <c r="M33" s="60">
        <f>L18/[2]ARA_eff_age_2019!$D29*1000000</f>
        <v>22.621285414604024</v>
      </c>
      <c r="N33" s="61">
        <f>N18/[2]ARA_eff_age_2019!$H29*1000000</f>
        <v>20.16867679959104</v>
      </c>
    </row>
    <row r="34" spans="2:14" x14ac:dyDescent="0.25">
      <c r="B34" s="26" t="s">
        <v>14</v>
      </c>
      <c r="C34" s="59">
        <v>23.37285639705885</v>
      </c>
      <c r="D34" s="60">
        <v>34.851337006551226</v>
      </c>
      <c r="E34" s="61">
        <v>29.269145772151916</v>
      </c>
      <c r="F34" s="59">
        <f>J19/[2]ARA_eff_age_2019!$G30*1000</f>
        <v>32.986075677482873</v>
      </c>
      <c r="G34" s="60">
        <f>L19/[2]ARA_eff_age_2019!$E$27*1000</f>
        <v>39.804460996895976</v>
      </c>
      <c r="H34" s="61">
        <f>N19/[2]ARA_eff_age_2019!$I30*1000</f>
        <v>36.268304496688856</v>
      </c>
      <c r="I34" s="59">
        <f>G19/[1]ARA_eff_age_2016!$D30*1000000</f>
        <v>17.118363581024305</v>
      </c>
      <c r="J34" s="60">
        <f>H19/[1]ARA_eff_age_2016!$D30*1000000</f>
        <v>27.961132795352409</v>
      </c>
      <c r="K34" s="61">
        <f>I19/[1]ARA_eff_age_2016!$F30*1000000</f>
        <v>18.742932229319379</v>
      </c>
      <c r="L34" s="59">
        <f>J19/[2]ARA_eff_age_2019!$F30*1000000</f>
        <v>18.614622872210532</v>
      </c>
      <c r="M34" s="60">
        <f>L19/[2]ARA_eff_age_2019!$D30*1000000</f>
        <v>21.329356861142283</v>
      </c>
      <c r="N34" s="61">
        <f>N19/[2]ARA_eff_age_2019!$H30*1000000</f>
        <v>20.197724532058825</v>
      </c>
    </row>
    <row r="35" spans="2:14" ht="15.75" thickBot="1" x14ac:dyDescent="0.3">
      <c r="B35" s="36" t="s">
        <v>15</v>
      </c>
      <c r="C35" s="63">
        <v>17.154180232713568</v>
      </c>
      <c r="D35" s="64">
        <v>23.240710083284519</v>
      </c>
      <c r="E35" s="65">
        <v>19.789084878290815</v>
      </c>
      <c r="F35" s="63">
        <f>J20/[2]ARA_eff_age_2019!$G31*1000</f>
        <v>28.365282389579342</v>
      </c>
      <c r="G35" s="64">
        <f>L20/[2]ARA_eff_age_2019!$E$27*1000</f>
        <v>5.8750082125737473</v>
      </c>
      <c r="H35" s="65">
        <f>N20/[2]ARA_eff_age_2019!$I31*1000</f>
        <v>27.653190415228504</v>
      </c>
      <c r="I35" s="63">
        <f>G20/[1]ARA_eff_age_2016!$D31*1000000</f>
        <v>15.780792540452735</v>
      </c>
      <c r="J35" s="64">
        <f>H20/[1]ARA_eff_age_2016!$D31*1000000</f>
        <v>18.000205652349578</v>
      </c>
      <c r="K35" s="65">
        <f>I20/[1]ARA_eff_age_2016!$F31*1000000</f>
        <v>14.985305885699354</v>
      </c>
      <c r="L35" s="63">
        <f>J20/[2]ARA_eff_age_2019!$F31*1000000</f>
        <v>17.013764677690705</v>
      </c>
      <c r="M35" s="64">
        <f>L20/[2]ARA_eff_age_2019!$D31*1000000</f>
        <v>17.025567971781403</v>
      </c>
      <c r="N35" s="65">
        <f>N20/[2]ARA_eff_age_2019!$H31*1000000</f>
        <v>17.020308266851238</v>
      </c>
    </row>
    <row r="36" spans="2:14" x14ac:dyDescent="0.25">
      <c r="B36" s="44" t="s">
        <v>87</v>
      </c>
      <c r="C36" s="101"/>
      <c r="D36" s="101"/>
      <c r="E36" s="101"/>
      <c r="F36" s="101"/>
      <c r="G36" s="46"/>
      <c r="H36" s="46"/>
      <c r="I36" s="46"/>
      <c r="J36" s="46"/>
      <c r="K36" s="46"/>
      <c r="L36" s="60"/>
      <c r="M36" s="60"/>
      <c r="N36" s="60"/>
    </row>
    <row r="37" spans="2:14" ht="14.45" customHeight="1" x14ac:dyDescent="0.25">
      <c r="B37" s="133" t="s">
        <v>88</v>
      </c>
      <c r="C37" s="133"/>
      <c r="D37" s="133"/>
      <c r="E37" s="133"/>
      <c r="F37" s="133"/>
      <c r="G37" s="133"/>
      <c r="H37" s="133"/>
      <c r="I37" s="133"/>
      <c r="J37" s="133"/>
      <c r="K37" s="89"/>
      <c r="L37" s="60"/>
      <c r="M37" s="60"/>
      <c r="N37" s="60"/>
    </row>
    <row r="38" spans="2:14" x14ac:dyDescent="0.25">
      <c r="B38" s="47" t="s">
        <v>75</v>
      </c>
      <c r="C38" s="48"/>
      <c r="D38" s="48"/>
      <c r="E38" s="48"/>
      <c r="F38" s="48"/>
      <c r="G38" s="48"/>
      <c r="H38" s="48"/>
      <c r="I38" s="48"/>
      <c r="J38" s="48"/>
      <c r="K38" s="48"/>
    </row>
    <row r="39" spans="2:14" x14ac:dyDescent="0.25">
      <c r="B39" s="66"/>
    </row>
    <row r="40" spans="2:14" ht="15.75" thickBot="1" x14ac:dyDescent="0.3">
      <c r="C40" s="132" t="s">
        <v>38</v>
      </c>
      <c r="D40" s="132"/>
      <c r="E40" s="132"/>
      <c r="F40" s="132"/>
      <c r="G40" s="132"/>
      <c r="H40" s="132"/>
      <c r="I40" s="132"/>
      <c r="J40" s="132"/>
      <c r="K40" s="132"/>
      <c r="L40" s="132"/>
      <c r="M40" s="132"/>
      <c r="N40" s="132"/>
    </row>
    <row r="41" spans="2:14" ht="32.450000000000003" customHeight="1" x14ac:dyDescent="0.25">
      <c r="B41" s="49"/>
      <c r="C41" s="67" t="s">
        <v>19</v>
      </c>
      <c r="D41" s="68"/>
      <c r="E41" s="68"/>
      <c r="F41" s="68"/>
      <c r="G41" s="69"/>
      <c r="H41" s="68"/>
      <c r="I41" s="67" t="s">
        <v>20</v>
      </c>
      <c r="J41" s="68"/>
      <c r="K41" s="68"/>
      <c r="L41" s="68"/>
      <c r="M41" s="69"/>
      <c r="N41" s="69"/>
    </row>
    <row r="42" spans="2:14" x14ac:dyDescent="0.25">
      <c r="B42" s="53"/>
      <c r="C42" s="9">
        <v>2016</v>
      </c>
      <c r="D42" s="9"/>
      <c r="E42" s="9"/>
      <c r="F42" s="10">
        <v>2019</v>
      </c>
      <c r="G42" s="10"/>
      <c r="H42" s="10"/>
      <c r="I42" s="9">
        <v>2016</v>
      </c>
      <c r="J42" s="9"/>
      <c r="K42" s="9"/>
      <c r="L42" s="10">
        <v>2019</v>
      </c>
      <c r="M42" s="10"/>
      <c r="N42" s="10"/>
    </row>
    <row r="43" spans="2:14" ht="15.75" thickBot="1" x14ac:dyDescent="0.3">
      <c r="B43" s="54"/>
      <c r="C43" s="14" t="s">
        <v>7</v>
      </c>
      <c r="D43" s="15" t="s">
        <v>8</v>
      </c>
      <c r="E43" s="16" t="s">
        <v>9</v>
      </c>
      <c r="F43" s="55" t="s">
        <v>7</v>
      </c>
      <c r="G43" s="55" t="s">
        <v>8</v>
      </c>
      <c r="H43" s="17" t="s">
        <v>9</v>
      </c>
      <c r="I43" s="14" t="s">
        <v>7</v>
      </c>
      <c r="J43" s="15" t="s">
        <v>8</v>
      </c>
      <c r="K43" s="16" t="s">
        <v>9</v>
      </c>
      <c r="L43" s="55" t="s">
        <v>7</v>
      </c>
      <c r="M43" s="55" t="s">
        <v>8</v>
      </c>
      <c r="N43" s="17" t="s">
        <v>9</v>
      </c>
    </row>
    <row r="44" spans="2:14" ht="15.75" thickBot="1" x14ac:dyDescent="0.3">
      <c r="B44" s="18"/>
      <c r="C44" s="56">
        <v>1.8</v>
      </c>
      <c r="D44" s="57">
        <v>1.4</v>
      </c>
      <c r="E44" s="57">
        <v>1.7</v>
      </c>
      <c r="F44" s="56">
        <v>1.5</v>
      </c>
      <c r="G44" s="57">
        <v>1.7</v>
      </c>
      <c r="H44" s="58">
        <v>1.7</v>
      </c>
      <c r="I44" s="56">
        <f>[2]ARA_eff_age_2019!$G$14/[2]ARA_eff_age_2019!$D$32*1000000</f>
        <v>7.4210514303612412</v>
      </c>
      <c r="J44" s="57">
        <f>[1]ARA_eff_age_2016!$F$14/[1]ARA_eff_age_2016!$B$32*1000000</f>
        <v>20.954724212815037</v>
      </c>
      <c r="K44" s="58">
        <f>[1]ARA_eff_age_2016!$H$14/[1]ARA_eff_age_2016!$F$32*1000000</f>
        <v>16.566028830306159</v>
      </c>
      <c r="L44" s="57">
        <f>[2]ARA_eff_age_2019!$G$14/[2]ARA_eff_age_2019!$F$32*1000000</f>
        <v>10.471429728949746</v>
      </c>
      <c r="M44" s="57">
        <f>[2]ARA_eff_age_2019!$F$14/[2]ARA_eff_age_2019!$D$32*1000000</f>
        <v>20.346589709537387</v>
      </c>
      <c r="N44" s="58">
        <f>[2]ARA_eff_age_2019!$H$14/[2]ARA_eff_age_2019!$H$32*1000000</f>
        <v>16.250787151665193</v>
      </c>
    </row>
    <row r="45" spans="2:14" x14ac:dyDescent="0.25">
      <c r="B45" s="26" t="s">
        <v>10</v>
      </c>
      <c r="C45" s="59">
        <v>1.5</v>
      </c>
      <c r="D45" s="60">
        <v>1.1000000000000001</v>
      </c>
      <c r="E45" s="60">
        <v>1.4</v>
      </c>
      <c r="F45" s="59">
        <v>1</v>
      </c>
      <c r="G45" s="60">
        <v>1.2</v>
      </c>
      <c r="H45" s="60">
        <v>1.2</v>
      </c>
      <c r="I45" s="59">
        <f>[1]ARA_eff_age_2016!$G$7/[1]ARA_eff_age_2016!$D$25*1000000</f>
        <v>5.7254036432288338</v>
      </c>
      <c r="J45" s="60">
        <f>[1]ARA_eff_age_2016!$F$7/[1]ARA_eff_age_2016!$B$25*1000000</f>
        <v>15.712677843976419</v>
      </c>
      <c r="K45" s="60">
        <f>[1]ARA_eff_age_2016!$H7/[1]ARA_eff_age_2016!$F25*1000000</f>
        <v>12.505449428341906</v>
      </c>
      <c r="L45" s="59">
        <f>[2]ARA_eff_age_2019!$G$7/[2]ARA_eff_age_2019!$F$25*1000000</f>
        <v>2.8167437025413191</v>
      </c>
      <c r="M45" s="60">
        <f>[2]ARA_eff_age_2019!$F$7/[2]ARA_eff_age_2019!$D$25*1000000</f>
        <v>8.3119760638441207</v>
      </c>
      <c r="N45" s="61">
        <f>[2]ARA_eff_age_2019!$H$7/[2]ARA_eff_age_2019!$H$25*1000000</f>
        <v>6.5450650655605225</v>
      </c>
    </row>
    <row r="46" spans="2:14" x14ac:dyDescent="0.25">
      <c r="B46" s="26" t="s">
        <v>11</v>
      </c>
      <c r="C46" s="59">
        <v>1.6185730992349263</v>
      </c>
      <c r="D46" s="60">
        <v>1.1952037345155027</v>
      </c>
      <c r="E46" s="61">
        <v>1.4376557464811888</v>
      </c>
      <c r="F46" s="59">
        <v>1.2307524650137582</v>
      </c>
      <c r="G46" s="60">
        <v>1.4847631445300888</v>
      </c>
      <c r="H46" s="60">
        <v>1.3766645247619924</v>
      </c>
      <c r="I46" s="59">
        <f>[1]ARA_eff_age_2016!$G9/[1]ARA_eff_age_2016!$D27*1000000</f>
        <v>4.2875350269491204</v>
      </c>
      <c r="J46" s="60">
        <f>[1]ARA_eff_age_2016!$F9/[1]ARA_eff_age_2016!$B27*1000000</f>
        <v>11.721052420665034</v>
      </c>
      <c r="K46" s="60">
        <f>[1]ARA_eff_age_2016!$H9/[1]ARA_eff_age_2016!$F27*1000000</f>
        <v>8.5445063561419285</v>
      </c>
      <c r="L46" s="59">
        <f>[2]ARA_eff_age_2019!$G9/[2]ARA_eff_age_2019!$F27*1000000</f>
        <v>5.1252953310555984</v>
      </c>
      <c r="M46" s="60">
        <f>[2]ARA_eff_age_2019!$F9/[2]ARA_eff_age_2019!$D27*1000000</f>
        <v>7.4609315268625602</v>
      </c>
      <c r="N46" s="61">
        <f>[2]ARA_eff_age_2019!$H9/[2]ARA_eff_age_2019!$H27*1000000</f>
        <v>6.466961313285335</v>
      </c>
    </row>
    <row r="47" spans="2:14" x14ac:dyDescent="0.25">
      <c r="B47" s="26" t="s">
        <v>12</v>
      </c>
      <c r="C47" s="59">
        <v>1.862276551980611</v>
      </c>
      <c r="D47" s="60">
        <v>1.2989138297000622</v>
      </c>
      <c r="E47" s="61">
        <v>1.634356603396359</v>
      </c>
      <c r="F47" s="59">
        <v>1.4371175738169875</v>
      </c>
      <c r="G47" s="60">
        <v>1.8887088043770299</v>
      </c>
      <c r="H47" s="60">
        <v>1.7059134307512434</v>
      </c>
      <c r="I47" s="59">
        <f>[1]ARA_eff_age_2016!$G10/[1]ARA_eff_age_2016!$D28*1000000</f>
        <v>7.3642131947319314</v>
      </c>
      <c r="J47" s="60">
        <f>[1]ARA_eff_age_2016!$F10/[1]ARA_eff_age_2016!$B28*1000000</f>
        <v>15.85759982839439</v>
      </c>
      <c r="K47" s="60">
        <f>[1]ARA_eff_age_2016!$H10/[1]ARA_eff_age_2016!$F28*1000000</f>
        <v>12.421425996917502</v>
      </c>
      <c r="L47" s="59">
        <f>[2]ARA_eff_age_2019!$G10/[2]ARA_eff_age_2019!$F28*1000000</f>
        <v>7.5970929721286717</v>
      </c>
      <c r="M47" s="60">
        <f>[2]ARA_eff_age_2019!$F10/[2]ARA_eff_age_2019!$D28*1000000</f>
        <v>14.85973172187917</v>
      </c>
      <c r="N47" s="61">
        <f>[2]ARA_eff_age_2019!$H10/[2]ARA_eff_age_2019!$H28*1000000</f>
        <v>11.919956378744207</v>
      </c>
    </row>
    <row r="48" spans="2:14" x14ac:dyDescent="0.25">
      <c r="B48" s="26" t="s">
        <v>13</v>
      </c>
      <c r="C48" s="59">
        <v>1.9808849028293201</v>
      </c>
      <c r="D48" s="60">
        <v>1.5733065032806823</v>
      </c>
      <c r="E48" s="61">
        <v>1.8119207231892069</v>
      </c>
      <c r="F48" s="59">
        <v>1.673881599571496</v>
      </c>
      <c r="G48" s="60">
        <v>2.0324516582397019</v>
      </c>
      <c r="H48" s="60">
        <v>1.8832825609189749</v>
      </c>
      <c r="I48" s="59">
        <f>[1]ARA_eff_age_2016!$G11/[1]ARA_eff_age_2016!$D29*1000000</f>
        <v>12.088040615341262</v>
      </c>
      <c r="J48" s="60">
        <f>[1]ARA_eff_age_2016!$F11/[1]ARA_eff_age_2016!$B29*1000000</f>
        <v>22.059761406128274</v>
      </c>
      <c r="K48" s="60">
        <f>[1]ARA_eff_age_2016!$H11/[1]ARA_eff_age_2016!$F29*1000000</f>
        <v>17.925922060268135</v>
      </c>
      <c r="L48" s="59">
        <f>[2]ARA_eff_age_2019!$G11/[2]ARA_eff_age_2019!$F29*1000000</f>
        <v>12.366390597349433</v>
      </c>
      <c r="M48" s="60">
        <f>[2]ARA_eff_age_2019!$F11/[2]ARA_eff_age_2019!$D29*1000000</f>
        <v>24.871755320757824</v>
      </c>
      <c r="N48" s="61">
        <f>[2]ARA_eff_age_2019!$H11/[2]ARA_eff_age_2019!$H29*1000000</f>
        <v>19.669385736678553</v>
      </c>
    </row>
    <row r="49" spans="2:14" x14ac:dyDescent="0.25">
      <c r="B49" s="26" t="s">
        <v>14</v>
      </c>
      <c r="C49" s="59">
        <v>1.9707453242939752</v>
      </c>
      <c r="D49" s="60">
        <v>1.6860762408011125</v>
      </c>
      <c r="E49" s="61">
        <v>1.8523870069971033</v>
      </c>
      <c r="F49" s="59">
        <v>1.786156430899748</v>
      </c>
      <c r="G49" s="60">
        <v>2.1643210674716675</v>
      </c>
      <c r="H49" s="60">
        <v>2.0066837703729332</v>
      </c>
      <c r="I49" s="59">
        <f>[1]ARA_eff_age_2016!$G12/[1]ARA_eff_age_2016!$D30*1000000</f>
        <v>17.124058312754517</v>
      </c>
      <c r="J49" s="60">
        <f>[1]ARA_eff_age_2016!$F12/[1]ARA_eff_age_2016!$B30*1000000</f>
        <v>32.553854835996411</v>
      </c>
      <c r="K49" s="60">
        <f>[1]ARA_eff_age_2016!$H12/[1]ARA_eff_age_2016!$F30*1000000</f>
        <v>26.138529604038816</v>
      </c>
      <c r="L49" s="59">
        <f>[2]ARA_eff_age_2019!$G12/[2]ARA_eff_age_2019!$F30*1000000</f>
        <v>15.35404735732274</v>
      </c>
      <c r="M49" s="60">
        <f>[2]ARA_eff_age_2019!$F12/[2]ARA_eff_age_2019!$D30*1000000</f>
        <v>33.524001565964092</v>
      </c>
      <c r="N49" s="61">
        <f>[2]ARA_eff_age_2019!$H12/[2]ARA_eff_age_2019!$H30*1000000</f>
        <v>25.949886501911106</v>
      </c>
    </row>
    <row r="50" spans="2:14" ht="15.75" thickBot="1" x14ac:dyDescent="0.3">
      <c r="B50" s="36" t="s">
        <v>15</v>
      </c>
      <c r="C50" s="63">
        <v>1.4738174328658693</v>
      </c>
      <c r="D50" s="64">
        <v>1.6606414220620187</v>
      </c>
      <c r="E50" s="65">
        <v>1.5566928591408467</v>
      </c>
      <c r="F50" s="63">
        <v>1.6313958201878096</v>
      </c>
      <c r="G50" s="64">
        <v>1.7954553360071981</v>
      </c>
      <c r="H50" s="64">
        <v>1.7223482323657524</v>
      </c>
      <c r="I50" s="63">
        <f>[1]ARA_eff_age_2016!$G13/[1]ARA_eff_age_2016!$D31*1000000</f>
        <v>15.459360296660778</v>
      </c>
      <c r="J50" s="64">
        <f>[1]ARA_eff_age_2016!$F13/[1]ARA_eff_age_2016!$B31*1000000</f>
        <v>34.877042870769571</v>
      </c>
      <c r="K50" s="65">
        <f>[1]ARA_eff_age_2016!$H13/[1]ARA_eff_age_2016!$F31*1000000</f>
        <v>26.263327216078434</v>
      </c>
      <c r="L50" s="63">
        <f>[2]ARA_eff_age_2019!$G13/[2]ARA_eff_age_2019!$F31*1000000</f>
        <v>21.313367224145878</v>
      </c>
      <c r="M50" s="64">
        <f>[2]ARA_eff_age_2019!$F13/[2]ARA_eff_age_2019!$D31*1000000</f>
        <v>32.641172967070325</v>
      </c>
      <c r="N50" s="65">
        <f>[2]ARA_eff_age_2019!$H13/[2]ARA_eff_age_2019!$H31*1000000</f>
        <v>27.593351972674917</v>
      </c>
    </row>
    <row r="51" spans="2:14" x14ac:dyDescent="0.25">
      <c r="B51" s="44" t="s">
        <v>87</v>
      </c>
      <c r="C51" s="101"/>
      <c r="D51" s="101"/>
      <c r="E51" s="101"/>
      <c r="F51" s="101"/>
      <c r="G51" s="46"/>
      <c r="H51" s="46"/>
      <c r="I51" s="46"/>
      <c r="J51" s="46"/>
      <c r="K51" s="46"/>
      <c r="L51" s="60"/>
      <c r="M51" s="60"/>
      <c r="N51" s="60"/>
    </row>
    <row r="52" spans="2:14" ht="14.45" customHeight="1" x14ac:dyDescent="0.25">
      <c r="B52" s="133" t="s">
        <v>88</v>
      </c>
      <c r="C52" s="133"/>
      <c r="D52" s="133"/>
      <c r="E52" s="133"/>
      <c r="F52" s="133"/>
      <c r="G52" s="133"/>
      <c r="H52" s="133"/>
      <c r="I52" s="133"/>
      <c r="J52" s="133"/>
      <c r="K52" s="89"/>
      <c r="L52" s="60"/>
      <c r="M52" s="60"/>
      <c r="N52" s="60"/>
    </row>
    <row r="53" spans="2:14" x14ac:dyDescent="0.25">
      <c r="B53" s="66" t="s">
        <v>76</v>
      </c>
      <c r="C53" s="48"/>
      <c r="D53" s="48"/>
      <c r="E53" s="48"/>
      <c r="F53" s="48"/>
      <c r="G53" s="48"/>
      <c r="H53" s="48"/>
      <c r="I53" s="48"/>
      <c r="J53" s="48"/>
      <c r="K53" s="48"/>
    </row>
    <row r="54" spans="2:14" ht="15.75" thickBot="1" x14ac:dyDescent="0.3">
      <c r="B54" s="112"/>
      <c r="C54" s="48"/>
      <c r="D54" s="48"/>
      <c r="E54" s="48"/>
      <c r="F54" s="48"/>
      <c r="G54" s="48"/>
      <c r="H54" s="48"/>
      <c r="I54" s="48"/>
      <c r="J54" s="48"/>
      <c r="K54" s="48"/>
    </row>
    <row r="55" spans="2:14" ht="15" customHeight="1" thickTop="1" x14ac:dyDescent="0.25">
      <c r="B55" s="166" t="s">
        <v>78</v>
      </c>
      <c r="C55" s="167"/>
      <c r="D55" s="167"/>
      <c r="E55" s="167"/>
      <c r="F55" s="167"/>
      <c r="G55" s="167"/>
      <c r="H55" s="168"/>
    </row>
    <row r="56" spans="2:14" x14ac:dyDescent="0.25">
      <c r="B56" s="169"/>
      <c r="C56" s="170"/>
      <c r="D56" s="170"/>
      <c r="E56" s="170"/>
      <c r="F56" s="170"/>
      <c r="G56" s="170"/>
      <c r="H56" s="171"/>
    </row>
    <row r="57" spans="2:14" x14ac:dyDescent="0.25">
      <c r="B57" s="169"/>
      <c r="C57" s="170"/>
      <c r="D57" s="170"/>
      <c r="E57" s="170"/>
      <c r="F57" s="170"/>
      <c r="G57" s="170"/>
      <c r="H57" s="171"/>
    </row>
    <row r="58" spans="2:14" x14ac:dyDescent="0.25">
      <c r="B58" s="169"/>
      <c r="C58" s="170"/>
      <c r="D58" s="170"/>
      <c r="E58" s="170"/>
      <c r="F58" s="170"/>
      <c r="G58" s="170"/>
      <c r="H58" s="171"/>
    </row>
    <row r="59" spans="2:14" x14ac:dyDescent="0.25">
      <c r="B59" s="169"/>
      <c r="C59" s="170"/>
      <c r="D59" s="170"/>
      <c r="E59" s="170"/>
      <c r="F59" s="170"/>
      <c r="G59" s="170"/>
      <c r="H59" s="171"/>
    </row>
    <row r="60" spans="2:14" x14ac:dyDescent="0.25">
      <c r="B60" s="169"/>
      <c r="C60" s="170"/>
      <c r="D60" s="170"/>
      <c r="E60" s="170"/>
      <c r="F60" s="170"/>
      <c r="G60" s="170"/>
      <c r="H60" s="171"/>
    </row>
    <row r="61" spans="2:14" x14ac:dyDescent="0.25">
      <c r="B61" s="169"/>
      <c r="C61" s="170"/>
      <c r="D61" s="170"/>
      <c r="E61" s="170"/>
      <c r="F61" s="170"/>
      <c r="G61" s="170"/>
      <c r="H61" s="171"/>
    </row>
    <row r="62" spans="2:14" x14ac:dyDescent="0.25">
      <c r="B62" s="169"/>
      <c r="C62" s="170"/>
      <c r="D62" s="170"/>
      <c r="E62" s="170"/>
      <c r="F62" s="170"/>
      <c r="G62" s="170"/>
      <c r="H62" s="171"/>
    </row>
    <row r="63" spans="2:14" x14ac:dyDescent="0.25">
      <c r="B63" s="169"/>
      <c r="C63" s="170"/>
      <c r="D63" s="170"/>
      <c r="E63" s="170"/>
      <c r="F63" s="170"/>
      <c r="G63" s="170"/>
      <c r="H63" s="171"/>
    </row>
    <row r="64" spans="2:14" x14ac:dyDescent="0.25">
      <c r="B64" s="169"/>
      <c r="C64" s="170"/>
      <c r="D64" s="170"/>
      <c r="E64" s="170"/>
      <c r="F64" s="170"/>
      <c r="G64" s="170"/>
      <c r="H64" s="171"/>
    </row>
    <row r="65" spans="2:14" x14ac:dyDescent="0.25">
      <c r="B65" s="169"/>
      <c r="C65" s="170"/>
      <c r="D65" s="170"/>
      <c r="E65" s="170"/>
      <c r="F65" s="170"/>
      <c r="G65" s="170"/>
      <c r="H65" s="171"/>
    </row>
    <row r="66" spans="2:14" x14ac:dyDescent="0.25">
      <c r="B66" s="169"/>
      <c r="C66" s="170"/>
      <c r="D66" s="170"/>
      <c r="E66" s="170"/>
      <c r="F66" s="170"/>
      <c r="G66" s="170"/>
      <c r="H66" s="171"/>
    </row>
    <row r="67" spans="2:14" x14ac:dyDescent="0.25">
      <c r="B67" s="169"/>
      <c r="C67" s="170"/>
      <c r="D67" s="170"/>
      <c r="E67" s="170"/>
      <c r="F67" s="170"/>
      <c r="G67" s="170"/>
      <c r="H67" s="171"/>
    </row>
    <row r="68" spans="2:14" x14ac:dyDescent="0.25">
      <c r="B68" s="169"/>
      <c r="C68" s="170"/>
      <c r="D68" s="170"/>
      <c r="E68" s="170"/>
      <c r="F68" s="170"/>
      <c r="G68" s="170"/>
      <c r="H68" s="171"/>
    </row>
    <row r="69" spans="2:14" x14ac:dyDescent="0.25">
      <c r="B69" s="169"/>
      <c r="C69" s="170"/>
      <c r="D69" s="170"/>
      <c r="E69" s="170"/>
      <c r="F69" s="170"/>
      <c r="G69" s="170"/>
      <c r="H69" s="171"/>
    </row>
    <row r="70" spans="2:14" x14ac:dyDescent="0.25">
      <c r="B70" s="169"/>
      <c r="C70" s="170"/>
      <c r="D70" s="170"/>
      <c r="E70" s="170"/>
      <c r="F70" s="170"/>
      <c r="G70" s="170"/>
      <c r="H70" s="171"/>
    </row>
    <row r="71" spans="2:14" x14ac:dyDescent="0.25">
      <c r="B71" s="169"/>
      <c r="C71" s="170"/>
      <c r="D71" s="170"/>
      <c r="E71" s="170"/>
      <c r="F71" s="170"/>
      <c r="G71" s="170"/>
      <c r="H71" s="171"/>
    </row>
    <row r="72" spans="2:14" x14ac:dyDescent="0.25">
      <c r="B72" s="169"/>
      <c r="C72" s="170"/>
      <c r="D72" s="170"/>
      <c r="E72" s="170"/>
      <c r="F72" s="170"/>
      <c r="G72" s="170"/>
      <c r="H72" s="171"/>
    </row>
    <row r="73" spans="2:14" x14ac:dyDescent="0.25">
      <c r="B73" s="169"/>
      <c r="C73" s="170"/>
      <c r="D73" s="170"/>
      <c r="E73" s="170"/>
      <c r="F73" s="170"/>
      <c r="G73" s="170"/>
      <c r="H73" s="171"/>
    </row>
    <row r="74" spans="2:14" ht="15.75" thickBot="1" x14ac:dyDescent="0.3">
      <c r="B74" s="172"/>
      <c r="C74" s="173"/>
      <c r="D74" s="173"/>
      <c r="E74" s="173"/>
      <c r="F74" s="173"/>
      <c r="G74" s="173"/>
      <c r="H74" s="174"/>
    </row>
    <row r="75" spans="2:14" ht="15.75" thickTop="1" x14ac:dyDescent="0.25">
      <c r="B75" s="117"/>
      <c r="C75" s="117"/>
      <c r="D75" s="117"/>
      <c r="E75" s="117"/>
      <c r="F75" s="117"/>
      <c r="G75" s="117"/>
      <c r="H75" s="117"/>
    </row>
    <row r="76" spans="2:14" x14ac:dyDescent="0.25">
      <c r="B76" s="112"/>
      <c r="C76" s="48"/>
      <c r="D76" s="48"/>
      <c r="E76" s="48"/>
      <c r="F76" s="48"/>
      <c r="G76" s="48"/>
      <c r="H76" s="48"/>
      <c r="I76" s="48"/>
      <c r="J76" s="48"/>
      <c r="K76" s="48"/>
    </row>
    <row r="77" spans="2:14" ht="15.75" customHeight="1" x14ac:dyDescent="0.25">
      <c r="B77" s="3" t="s">
        <v>2</v>
      </c>
      <c r="C77" s="4"/>
      <c r="D77" s="4"/>
    </row>
    <row r="78" spans="2:14" ht="15.75" customHeight="1" x14ac:dyDescent="0.25">
      <c r="B78" s="2"/>
    </row>
    <row r="79" spans="2:14" ht="20.100000000000001" customHeight="1" thickBot="1" x14ac:dyDescent="0.3">
      <c r="B79" s="2"/>
      <c r="C79" s="132" t="s">
        <v>3</v>
      </c>
      <c r="D79" s="132"/>
      <c r="E79" s="132"/>
      <c r="F79" s="132"/>
      <c r="G79" s="132"/>
      <c r="H79" s="132"/>
      <c r="I79" s="132"/>
      <c r="J79" s="132"/>
      <c r="K79" s="132"/>
      <c r="L79" s="132"/>
      <c r="M79" s="132"/>
      <c r="N79" s="132"/>
    </row>
    <row r="80" spans="2:14" ht="23.1" customHeight="1" thickBot="1" x14ac:dyDescent="0.3">
      <c r="C80" s="144" t="s">
        <v>39</v>
      </c>
      <c r="D80" s="145"/>
      <c r="E80" s="145"/>
      <c r="F80" s="146"/>
      <c r="G80" s="178" t="s">
        <v>4</v>
      </c>
      <c r="H80" s="179"/>
      <c r="I80" s="179"/>
      <c r="J80" s="179"/>
      <c r="K80" s="179"/>
      <c r="L80" s="179"/>
      <c r="M80" s="179"/>
      <c r="N80" s="180"/>
    </row>
    <row r="81" spans="2:16" ht="15" customHeight="1" x14ac:dyDescent="0.25">
      <c r="B81" s="162"/>
      <c r="C81" s="149" t="s">
        <v>5</v>
      </c>
      <c r="D81" s="150"/>
      <c r="E81" s="150" t="s">
        <v>6</v>
      </c>
      <c r="F81" s="151"/>
      <c r="G81" s="181">
        <v>2016</v>
      </c>
      <c r="H81" s="182"/>
      <c r="I81" s="183"/>
      <c r="J81" s="175">
        <v>2019</v>
      </c>
      <c r="K81" s="176"/>
      <c r="L81" s="176"/>
      <c r="M81" s="176"/>
      <c r="N81" s="177"/>
    </row>
    <row r="82" spans="2:16" ht="15.75" thickBot="1" x14ac:dyDescent="0.3">
      <c r="B82" s="163"/>
      <c r="C82" s="11" t="s">
        <v>7</v>
      </c>
      <c r="D82" s="12" t="s">
        <v>8</v>
      </c>
      <c r="E82" s="12" t="s">
        <v>7</v>
      </c>
      <c r="F82" s="13" t="s">
        <v>8</v>
      </c>
      <c r="G82" s="14" t="s">
        <v>7</v>
      </c>
      <c r="H82" s="15" t="s">
        <v>8</v>
      </c>
      <c r="I82" s="16" t="s">
        <v>9</v>
      </c>
      <c r="J82" s="164" t="s">
        <v>7</v>
      </c>
      <c r="K82" s="165"/>
      <c r="L82" s="165" t="s">
        <v>8</v>
      </c>
      <c r="M82" s="165"/>
      <c r="N82" s="17" t="s">
        <v>9</v>
      </c>
    </row>
    <row r="83" spans="2:16" ht="15.75" thickBot="1" x14ac:dyDescent="0.3">
      <c r="B83" s="18"/>
      <c r="C83" s="19">
        <v>0.8</v>
      </c>
      <c r="D83" s="20">
        <v>0.2</v>
      </c>
      <c r="E83" s="19">
        <v>1</v>
      </c>
      <c r="F83" s="20">
        <v>1</v>
      </c>
      <c r="G83" s="21">
        <v>4641</v>
      </c>
      <c r="H83" s="22">
        <v>730</v>
      </c>
      <c r="I83" s="23">
        <v>5371</v>
      </c>
      <c r="J83" s="21">
        <f>SUM(J84:J89)</f>
        <v>4587</v>
      </c>
      <c r="K83" s="24">
        <f>SUM(K84:K89)</f>
        <v>0.99999999999999989</v>
      </c>
      <c r="L83" s="25">
        <f>SUM(L84:L89)</f>
        <v>769</v>
      </c>
      <c r="M83" s="24">
        <f>SUM(M84:M89)</f>
        <v>1.0000000000000002</v>
      </c>
      <c r="N83" s="23">
        <f t="shared" ref="N83:N89" si="4">J83+L83</f>
        <v>5356</v>
      </c>
    </row>
    <row r="84" spans="2:16" x14ac:dyDescent="0.25">
      <c r="B84" s="26" t="s">
        <v>10</v>
      </c>
      <c r="C84" s="104">
        <v>0.83</v>
      </c>
      <c r="D84" s="105">
        <v>0.17</v>
      </c>
      <c r="E84" s="99">
        <v>1.4545454545454545E-2</v>
      </c>
      <c r="F84" s="100">
        <v>1.1640053723324877E-2</v>
      </c>
      <c r="G84" s="31">
        <v>79</v>
      </c>
      <c r="H84" s="32">
        <v>10</v>
      </c>
      <c r="I84" s="33">
        <v>89</v>
      </c>
      <c r="J84" s="31">
        <v>75</v>
      </c>
      <c r="K84" s="34">
        <f t="shared" ref="K84:K89" si="5">J84/$J$83</f>
        <v>1.6350555918901243E-2</v>
      </c>
      <c r="L84" s="35">
        <v>9</v>
      </c>
      <c r="M84" s="34">
        <f t="shared" ref="M84:M89" si="6">L84/$L$83</f>
        <v>1.1703511053315995E-2</v>
      </c>
      <c r="N84" s="33">
        <f t="shared" si="4"/>
        <v>84</v>
      </c>
      <c r="P84" s="118"/>
    </row>
    <row r="85" spans="2:16" x14ac:dyDescent="0.25">
      <c r="B85" s="26" t="s">
        <v>11</v>
      </c>
      <c r="C85" s="104">
        <v>0.83</v>
      </c>
      <c r="D85" s="105">
        <v>0.17</v>
      </c>
      <c r="E85" s="99">
        <v>0.18960765550239234</v>
      </c>
      <c r="F85" s="100">
        <v>0.15445455902104163</v>
      </c>
      <c r="G85" s="31">
        <v>1418</v>
      </c>
      <c r="H85" s="32">
        <v>143</v>
      </c>
      <c r="I85" s="33">
        <v>1561</v>
      </c>
      <c r="J85" s="31">
        <v>1207</v>
      </c>
      <c r="K85" s="34">
        <f t="shared" si="5"/>
        <v>0.26313494658818398</v>
      </c>
      <c r="L85" s="35">
        <v>141</v>
      </c>
      <c r="M85" s="34">
        <f t="shared" si="6"/>
        <v>0.18335500650195058</v>
      </c>
      <c r="N85" s="33">
        <f t="shared" si="4"/>
        <v>1348</v>
      </c>
      <c r="P85" s="118"/>
    </row>
    <row r="86" spans="2:16" x14ac:dyDescent="0.25">
      <c r="B86" s="26" t="s">
        <v>12</v>
      </c>
      <c r="C86" s="104">
        <v>0.8</v>
      </c>
      <c r="D86" s="105">
        <v>0.2</v>
      </c>
      <c r="E86" s="99">
        <v>0.22761722488038277</v>
      </c>
      <c r="F86" s="100">
        <v>0.22578719594090435</v>
      </c>
      <c r="G86" s="31">
        <v>976</v>
      </c>
      <c r="H86" s="32">
        <v>174</v>
      </c>
      <c r="I86" s="33">
        <v>1150</v>
      </c>
      <c r="J86" s="31">
        <v>1051</v>
      </c>
      <c r="K86" s="34">
        <f t="shared" si="5"/>
        <v>0.22912579027686941</v>
      </c>
      <c r="L86" s="35">
        <v>187</v>
      </c>
      <c r="M86" s="34">
        <f t="shared" si="6"/>
        <v>0.24317295188556567</v>
      </c>
      <c r="N86" s="33">
        <f t="shared" si="4"/>
        <v>1238</v>
      </c>
      <c r="P86" s="118"/>
    </row>
    <row r="87" spans="2:16" x14ac:dyDescent="0.25">
      <c r="B87" s="26" t="s">
        <v>13</v>
      </c>
      <c r="C87" s="104">
        <v>0.77</v>
      </c>
      <c r="D87" s="105">
        <v>0.23</v>
      </c>
      <c r="E87" s="99">
        <v>0.24964593301435406</v>
      </c>
      <c r="F87" s="100">
        <v>0.28436054320250709</v>
      </c>
      <c r="G87" s="31">
        <v>1132</v>
      </c>
      <c r="H87" s="32">
        <v>199</v>
      </c>
      <c r="I87" s="33">
        <v>1331</v>
      </c>
      <c r="J87" s="31">
        <v>1074</v>
      </c>
      <c r="K87" s="34">
        <f t="shared" si="5"/>
        <v>0.2341399607586658</v>
      </c>
      <c r="L87" s="35">
        <v>203</v>
      </c>
      <c r="M87" s="34">
        <f t="shared" si="6"/>
        <v>0.26397919375812745</v>
      </c>
      <c r="N87" s="33">
        <f t="shared" si="4"/>
        <v>1277</v>
      </c>
      <c r="P87" s="118"/>
    </row>
    <row r="88" spans="2:16" x14ac:dyDescent="0.25">
      <c r="B88" s="26" t="s">
        <v>14</v>
      </c>
      <c r="C88" s="104">
        <v>0.79</v>
      </c>
      <c r="D88" s="105">
        <v>0.21</v>
      </c>
      <c r="E88" s="99">
        <v>0.26916746411483256</v>
      </c>
      <c r="F88" s="100">
        <v>0.27697358603193556</v>
      </c>
      <c r="G88" s="31">
        <v>904</v>
      </c>
      <c r="H88" s="32">
        <v>184</v>
      </c>
      <c r="I88" s="33">
        <v>1088</v>
      </c>
      <c r="J88" s="31">
        <v>991</v>
      </c>
      <c r="K88" s="34">
        <f t="shared" si="5"/>
        <v>0.21604534554174842</v>
      </c>
      <c r="L88" s="35">
        <v>193</v>
      </c>
      <c r="M88" s="34">
        <f t="shared" si="6"/>
        <v>0.25097529258777634</v>
      </c>
      <c r="N88" s="33">
        <f t="shared" si="4"/>
        <v>1184</v>
      </c>
      <c r="P88" s="118"/>
    </row>
    <row r="89" spans="2:16" ht="15.75" thickBot="1" x14ac:dyDescent="0.3">
      <c r="B89" s="36" t="s">
        <v>15</v>
      </c>
      <c r="C89" s="102">
        <v>0.8</v>
      </c>
      <c r="D89" s="103">
        <v>0.2</v>
      </c>
      <c r="E89" s="102">
        <v>4.9416267942583733E-2</v>
      </c>
      <c r="F89" s="103">
        <v>4.6784062080286522E-2</v>
      </c>
      <c r="G89" s="39">
        <v>132</v>
      </c>
      <c r="H89" s="40">
        <v>20</v>
      </c>
      <c r="I89" s="41">
        <v>152</v>
      </c>
      <c r="J89" s="39">
        <v>189</v>
      </c>
      <c r="K89" s="42">
        <f t="shared" si="5"/>
        <v>4.1203400915631135E-2</v>
      </c>
      <c r="L89" s="43">
        <v>36</v>
      </c>
      <c r="M89" s="42">
        <f t="shared" si="6"/>
        <v>4.6814044213263982E-2</v>
      </c>
      <c r="N89" s="82">
        <f t="shared" si="4"/>
        <v>225</v>
      </c>
      <c r="P89" s="118"/>
    </row>
    <row r="90" spans="2:16" x14ac:dyDescent="0.25">
      <c r="B90" s="44" t="s">
        <v>87</v>
      </c>
      <c r="C90" s="101"/>
      <c r="D90" s="101"/>
      <c r="E90" s="101"/>
      <c r="F90" s="101"/>
      <c r="G90" s="46"/>
      <c r="H90" s="46"/>
      <c r="I90" s="46"/>
      <c r="J90" s="46"/>
      <c r="K90" s="46"/>
      <c r="L90" s="107"/>
      <c r="M90" s="107"/>
      <c r="N90" s="107"/>
    </row>
    <row r="91" spans="2:16" ht="14.45" customHeight="1" x14ac:dyDescent="0.25">
      <c r="B91" s="133" t="s">
        <v>88</v>
      </c>
      <c r="C91" s="133"/>
      <c r="D91" s="133"/>
      <c r="E91" s="133"/>
      <c r="F91" s="133"/>
      <c r="G91" s="133"/>
      <c r="H91" s="133"/>
      <c r="I91" s="133"/>
      <c r="J91" s="133"/>
      <c r="K91" s="120"/>
      <c r="L91" s="107"/>
      <c r="M91" s="107"/>
      <c r="N91" s="107"/>
    </row>
    <row r="92" spans="2:16" x14ac:dyDescent="0.25">
      <c r="B92" s="113" t="s">
        <v>45</v>
      </c>
      <c r="C92" s="48"/>
      <c r="D92" s="48"/>
      <c r="E92" s="48"/>
      <c r="F92" s="48"/>
      <c r="G92" s="48"/>
      <c r="H92" s="48"/>
      <c r="I92" s="48"/>
      <c r="J92" s="48"/>
      <c r="K92" s="48"/>
    </row>
    <row r="94" spans="2:16" ht="20.100000000000001" customHeight="1" thickBot="1" x14ac:dyDescent="0.3">
      <c r="C94" s="132" t="s">
        <v>3</v>
      </c>
      <c r="D94" s="132"/>
      <c r="E94" s="132"/>
      <c r="F94" s="132"/>
      <c r="G94" s="132"/>
      <c r="H94" s="132"/>
      <c r="I94" s="132"/>
      <c r="J94" s="132"/>
      <c r="K94" s="132"/>
      <c r="L94" s="132"/>
      <c r="M94" s="132"/>
      <c r="N94" s="132"/>
    </row>
    <row r="95" spans="2:16" ht="29.25" customHeight="1" x14ac:dyDescent="0.25">
      <c r="B95" s="49"/>
      <c r="C95" s="184" t="s">
        <v>17</v>
      </c>
      <c r="D95" s="185"/>
      <c r="E95" s="185"/>
      <c r="F95" s="185"/>
      <c r="G95" s="185"/>
      <c r="H95" s="186"/>
      <c r="I95" s="184" t="s">
        <v>18</v>
      </c>
      <c r="J95" s="185"/>
      <c r="K95" s="185"/>
      <c r="L95" s="185"/>
      <c r="M95" s="185"/>
      <c r="N95" s="186"/>
    </row>
    <row r="96" spans="2:16" x14ac:dyDescent="0.25">
      <c r="B96" s="53"/>
      <c r="C96" s="9">
        <v>2016</v>
      </c>
      <c r="D96" s="9"/>
      <c r="E96" s="9"/>
      <c r="F96" s="10">
        <v>2019</v>
      </c>
      <c r="G96" s="10"/>
      <c r="H96" s="10"/>
      <c r="I96" s="9">
        <v>2016</v>
      </c>
      <c r="J96" s="9"/>
      <c r="K96" s="9"/>
      <c r="L96" s="10">
        <v>2019</v>
      </c>
      <c r="M96" s="10"/>
      <c r="N96" s="10"/>
    </row>
    <row r="97" spans="2:18" ht="15.75" thickBot="1" x14ac:dyDescent="0.3">
      <c r="B97" s="54"/>
      <c r="C97" s="14" t="s">
        <v>7</v>
      </c>
      <c r="D97" s="15" t="s">
        <v>8</v>
      </c>
      <c r="E97" s="16" t="s">
        <v>9</v>
      </c>
      <c r="F97" s="55" t="s">
        <v>7</v>
      </c>
      <c r="G97" s="55" t="s">
        <v>8</v>
      </c>
      <c r="H97" s="17" t="s">
        <v>9</v>
      </c>
      <c r="I97" s="14" t="s">
        <v>7</v>
      </c>
      <c r="J97" s="15" t="s">
        <v>8</v>
      </c>
      <c r="K97" s="16" t="s">
        <v>9</v>
      </c>
      <c r="L97" s="55" t="s">
        <v>7</v>
      </c>
      <c r="M97" s="55" t="s">
        <v>8</v>
      </c>
      <c r="N97" s="17" t="s">
        <v>9</v>
      </c>
    </row>
    <row r="98" spans="2:18" ht="15.75" thickBot="1" x14ac:dyDescent="0.3">
      <c r="B98" s="18"/>
      <c r="C98" s="56">
        <v>89.233491804016268</v>
      </c>
      <c r="D98" s="57">
        <v>53.536645467132892</v>
      </c>
      <c r="E98" s="57">
        <v>81.81869975446773</v>
      </c>
      <c r="F98" s="56">
        <f>J83/(SUM([3]NA88_AGE_SEXE!$D$2018:$D$2040))*1000</f>
        <v>69.872654155495979</v>
      </c>
      <c r="G98" s="57">
        <f>L83/([3]NA88_AGE_SEXE!$D$2017+[3]NA88_AGE_SEXE!$D$2019+[3]NA88_AGE_SEXE!$D$2021+[3]NA88_AGE_SEXE!$D$2023+[3]NA88_AGE_SEXE!$D$2025+[3]NA88_AGE_SEXE!$D$2027+[3]NA88_AGE_SEXE!$D$2029+[3]NA88_AGE_SEXE!$D$2031+[3]NA88_AGE_SEXE!$D$2033+[3]NA88_AGE_SEXE!$D$2035+[3]NA88_AGE_SEXE!$D$2037)*1000</f>
        <v>57.702408644105951</v>
      </c>
      <c r="H98" s="58">
        <f>N83/([3]NA88_AGE_SEXE!$D$2017+[3]NA88_AGE_SEXE!$D$2018+[3]NA88_AGE_SEXE!$D$2019+[3]NA88_AGE_SEXE!$D$2020+[3]NA88_AGE_SEXE!$D$2021+[3]NA88_AGE_SEXE!$D$2022+[3]NA88_AGE_SEXE!$D$2023+[3]NA88_AGE_SEXE!$D$2024+[3]NA88_AGE_SEXE!$D$2025+[3]NA88_AGE_SEXE!$D$2026+[3]NA88_AGE_SEXE!$D$2027+[3]NA88_AGE_SEXE!$D$2028+[3]NA88_AGE_SEXE!$D$2029+[3]NA88_AGE_SEXE!$D$2030+[3]NA88_AGE_SEXE!$D$2031+[3]NA88_AGE_SEXE!$D$2032+[3]NA88_AGE_SEXE!$D$2033+[3]NA88_AGE_SEXE!$D$2034+[3]NA88_AGE_SEXE!$D$2035+[3]NA88_AGE_SEXE!$D$2036+[3]NA88_AGE_SEXE!$D$2037+[3]NA88_AGE_SEXE!$D$2038)*1000</f>
        <v>81.959938178089942</v>
      </c>
      <c r="I98" s="57">
        <f>[4]ARA_eff_age_2016!$G$512</f>
        <v>54.345610000000001</v>
      </c>
      <c r="J98" s="57">
        <f>[4]ARA_eff_age_2016!$F$512</f>
        <v>31.965730000000001</v>
      </c>
      <c r="K98" s="58">
        <f>[4]ARA_eff_age_2016!$H$512</f>
        <v>49.625246400000002</v>
      </c>
      <c r="L98" s="57">
        <f>[5]ARA_eff_age_2019!$G$512</f>
        <v>53.6</v>
      </c>
      <c r="M98" s="57">
        <f>[5]ARA_eff_age_2019!$F$512</f>
        <v>32.700000000000003</v>
      </c>
      <c r="N98" s="58">
        <f>[5]ARA_eff_age_2019!$H$512</f>
        <v>49.1</v>
      </c>
      <c r="P98" s="62"/>
      <c r="Q98" s="62"/>
      <c r="R98" s="62"/>
    </row>
    <row r="99" spans="2:18" x14ac:dyDescent="0.25">
      <c r="B99" s="26" t="s">
        <v>10</v>
      </c>
      <c r="C99" s="59">
        <v>110.12141234196183</v>
      </c>
      <c r="D99" s="121" t="s">
        <v>93</v>
      </c>
      <c r="E99" s="61">
        <v>99.065004452359759</v>
      </c>
      <c r="F99" s="59">
        <f>J84/760*1000</f>
        <v>98.684210526315795</v>
      </c>
      <c r="G99" s="121" t="s">
        <v>93</v>
      </c>
      <c r="H99" s="61">
        <f>N84/([3]NA88_AGE_SEXE!$D$2017+[3]NA88_AGE_SEXE!$D$2018+[3]NA88_AGE_SEXE!$D$2019+[3]NA88_AGE_SEXE!$D$2020)*1000</f>
        <v>91.703056768558952</v>
      </c>
      <c r="I99" s="59">
        <f>[4]ARA_eff_age_2016!$G$505</f>
        <v>52.596980000000002</v>
      </c>
      <c r="J99" s="121" t="s">
        <v>93</v>
      </c>
      <c r="K99" s="61">
        <f>[4]ARA_eff_age_2016!$H$505</f>
        <v>53.523287799999999</v>
      </c>
      <c r="L99" s="59">
        <f>[5]ARA_eff_age_2019!$G$505</f>
        <v>63.5</v>
      </c>
      <c r="M99" s="121" t="s">
        <v>93</v>
      </c>
      <c r="N99" s="61">
        <f>[5]ARA_eff_age_2019!$H$505</f>
        <v>60</v>
      </c>
      <c r="P99" s="62"/>
      <c r="Q99" s="62"/>
      <c r="R99" s="62"/>
    </row>
    <row r="100" spans="2:18" x14ac:dyDescent="0.25">
      <c r="B100" s="26" t="s">
        <v>11</v>
      </c>
      <c r="C100" s="59">
        <v>142.78664580167342</v>
      </c>
      <c r="D100" s="60">
        <v>77.134689033928481</v>
      </c>
      <c r="E100" s="61">
        <v>128.19575763200015</v>
      </c>
      <c r="F100" s="59">
        <f>J85/9907*1000</f>
        <v>121.83304734026446</v>
      </c>
      <c r="G100" s="60">
        <f>L85/([3]NA88_AGE_SEXE!$D$2021+[3]NA88_AGE_SEXE!$D$2023)*1000</f>
        <v>68.115942028985501</v>
      </c>
      <c r="H100" s="61">
        <f>N85/([3]NA88_AGE_SEXE!$D$2021+[3]NA88_AGE_SEXE!$D$2022+[3]NA88_AGE_SEXE!$D$2023+[3]NA88_AGE_SEXE!$D$2024)*1000</f>
        <v>112.54905235033814</v>
      </c>
      <c r="I100" s="59">
        <f>[4]ARA_eff_age_2016!G507</f>
        <v>71.339579999999998</v>
      </c>
      <c r="J100" s="60">
        <f>[4]ARA_eff_age_2016!F507</f>
        <v>38.876849999999997</v>
      </c>
      <c r="K100" s="61">
        <f>[4]ARA_eff_age_2016!H507</f>
        <v>66.403463900000006</v>
      </c>
      <c r="L100" s="59">
        <f>[5]ARA_eff_age_2019!$G$507</f>
        <v>66.7</v>
      </c>
      <c r="M100" s="60">
        <f>[5]ARA_eff_age_2019!F508</f>
        <v>33.799999999999997</v>
      </c>
      <c r="N100" s="61">
        <f>[5]ARA_eff_age_2019!H507</f>
        <v>62.6</v>
      </c>
      <c r="P100" s="62"/>
      <c r="Q100" s="62"/>
      <c r="R100" s="62"/>
    </row>
    <row r="101" spans="2:18" x14ac:dyDescent="0.25">
      <c r="B101" s="26" t="s">
        <v>12</v>
      </c>
      <c r="C101" s="59">
        <v>83.894492360959504</v>
      </c>
      <c r="D101" s="60">
        <v>55.664859158308943</v>
      </c>
      <c r="E101" s="61">
        <v>77.915865770611632</v>
      </c>
      <c r="F101" s="59">
        <f>J86/([3]NA88_AGE_SEXE!$D$2026+[3]NA88_AGE_SEXE!$D$2028)*1000</f>
        <v>88.371310855124875</v>
      </c>
      <c r="G101" s="60">
        <f>L86/([3]NA88_AGE_SEXE!$D$2025+[3]NA88_AGE_SEXE!$D$2027)*1000</f>
        <v>61.797752808988761</v>
      </c>
      <c r="H101" s="61">
        <f>N86/([3]NA88_AGE_SEXE!$D$2025+[3]NA88_AGE_SEXE!$D$2026+[3]NA88_AGE_SEXE!$D$2027+[3]NA88_AGE_SEXE!$D$2028)*1000</f>
        <v>82.981433071921714</v>
      </c>
      <c r="I101" s="59">
        <f>[4]ARA_eff_age_2016!G508</f>
        <v>53.421610000000001</v>
      </c>
      <c r="J101" s="60">
        <f>[4]ARA_eff_age_2016!F508</f>
        <v>34.405119999999997</v>
      </c>
      <c r="K101" s="61">
        <f>[4]ARA_eff_age_2016!H508</f>
        <v>49.317843000000003</v>
      </c>
      <c r="L101" s="59">
        <f>[5]ARA_eff_age_2019!$G$508</f>
        <v>52.9</v>
      </c>
      <c r="M101" s="60">
        <f>[5]ARA_eff_age_2019!F509</f>
        <v>33</v>
      </c>
      <c r="N101" s="61">
        <f>[5]ARA_eff_age_2019!H508</f>
        <v>48.9</v>
      </c>
      <c r="P101" s="62"/>
      <c r="Q101" s="62"/>
      <c r="R101" s="62"/>
    </row>
    <row r="102" spans="2:18" x14ac:dyDescent="0.25">
      <c r="B102" s="26" t="s">
        <v>13</v>
      </c>
      <c r="C102" s="59">
        <v>83.984921293812931</v>
      </c>
      <c r="D102" s="60">
        <v>49.777004024683393</v>
      </c>
      <c r="E102" s="61">
        <v>76.159675540327427</v>
      </c>
      <c r="F102" s="59">
        <f>J87/([3]NA88_AGE_SEXE!$D$2030+[3]NA88_AGE_SEXE!$D$2032)*1000</f>
        <v>82.336706531738727</v>
      </c>
      <c r="G102" s="60">
        <f>L87/([3]NA88_AGE_SEXE!$D$2029+[3]NA88_AGE_SEXE!$D$2031)*1000</f>
        <v>53.266859092101811</v>
      </c>
      <c r="H102" s="61">
        <f>N87/([3]NA88_AGE_SEXE!$D$2029+[3]NA88_AGE_SEXE!$D$2030+[3]NA88_AGE_SEXE!$D$2031+[3]NA88_AGE_SEXE!$D$2032)*1000</f>
        <v>75.76386828834174</v>
      </c>
      <c r="I102" s="59">
        <f>[4]ARA_eff_age_2016!G509</f>
        <v>53.50215</v>
      </c>
      <c r="J102" s="60">
        <f>[4]ARA_eff_age_2016!F509</f>
        <v>30.775069999999999</v>
      </c>
      <c r="K102" s="61">
        <f>[4]ARA_eff_age_2016!H509</f>
        <v>48.195969699999999</v>
      </c>
      <c r="L102" s="59">
        <v>51.4</v>
      </c>
      <c r="M102" s="60">
        <f>[5]ARA_eff_age_2019!F510</f>
        <v>28.3</v>
      </c>
      <c r="N102" s="61">
        <f>[5]ARA_eff_age_2019!H509</f>
        <v>47</v>
      </c>
      <c r="P102" s="62"/>
      <c r="Q102" s="62"/>
      <c r="R102" s="62"/>
    </row>
    <row r="103" spans="2:18" x14ac:dyDescent="0.25">
      <c r="B103" s="26" t="s">
        <v>14</v>
      </c>
      <c r="C103" s="59">
        <v>67.360389259594569</v>
      </c>
      <c r="D103" s="60">
        <v>48.416848010567506</v>
      </c>
      <c r="E103" s="61">
        <v>63.179851202159256</v>
      </c>
      <c r="F103" s="59">
        <f>J88/([3]NA88_AGE_SEXE!$D$2034+[3]NA88_AGE_SEXE!$D$2036)*1000</f>
        <v>70.46359499431172</v>
      </c>
      <c r="G103" s="60">
        <f>L88/([3]NA88_AGE_SEXE!$D$2033+[3]NA88_AGE_SEXE!$D$2035)*1000</f>
        <v>51.993534482758619</v>
      </c>
      <c r="H103" s="61">
        <f>N88/([3]NA88_AGE_SEXE!$D$2033+[3]NA88_AGE_SEXE!$D$2034+[3]NA88_AGE_SEXE!$D$2035+[3]NA88_AGE_SEXE!$D$2036)*1000</f>
        <v>66.606660666066603</v>
      </c>
      <c r="I103" s="59">
        <f>[4]ARA_eff_age_2016!G510</f>
        <v>44.144570000000002</v>
      </c>
      <c r="J103" s="60">
        <f>[4]ARA_eff_age_2016!F510</f>
        <v>30.946929999999998</v>
      </c>
      <c r="K103" s="61">
        <f>[4]ARA_eff_age_2016!H510</f>
        <v>41.127096199999997</v>
      </c>
      <c r="L103" s="59">
        <v>48</v>
      </c>
      <c r="M103" s="60">
        <f>[5]ARA_eff_age_2019!F511</f>
        <v>28.8</v>
      </c>
      <c r="N103" s="61">
        <f>[5]ARA_eff_age_2019!H510</f>
        <v>43.5</v>
      </c>
      <c r="P103" s="62"/>
      <c r="Q103" s="62"/>
      <c r="R103" s="62"/>
    </row>
    <row r="104" spans="2:18" ht="15.75" thickBot="1" x14ac:dyDescent="0.3">
      <c r="B104" s="36" t="s">
        <v>15</v>
      </c>
      <c r="C104" s="63">
        <v>54.168957904153771</v>
      </c>
      <c r="D104" s="64">
        <v>29.559562518474728</v>
      </c>
      <c r="E104" s="65">
        <v>48.820910766937963</v>
      </c>
      <c r="F104" s="63">
        <f>J89/([3]NA88_AGE_SEXE!$D$2038+[3]NA88_AGE_SEXE!$D$2040)*1000</f>
        <v>73.199070487993808</v>
      </c>
      <c r="G104" s="64">
        <f>L89/([3]NA88_AGE_SEXE!$D$2037+[3]NA88_AGE_SEXE!$D$2039)*1000</f>
        <v>57.416267942583737</v>
      </c>
      <c r="H104" s="65">
        <f>N89/([3]NA88_AGE_SEXE!$D$2037+[3]NA88_AGE_SEXE!$D$2038+[3]NA88_AGE_SEXE!$D$2039+[3]NA88_AGE_SEXE!$D$2040)*1000</f>
        <v>70.115300716734197</v>
      </c>
      <c r="I104" s="63">
        <f>[4]ARA_eff_age_2016!G511</f>
        <v>37.58766</v>
      </c>
      <c r="J104" s="64">
        <f>[4]ARA_eff_age_2016!F511</f>
        <v>14.338979999999999</v>
      </c>
      <c r="K104" s="65">
        <f>[4]ARA_eff_age_2016!H511</f>
        <v>31.7979542</v>
      </c>
      <c r="L104" s="63">
        <v>40.6</v>
      </c>
      <c r="M104" s="64">
        <f>[5]ARA_eff_age_2019!F512</f>
        <v>32.700000000000003</v>
      </c>
      <c r="N104" s="65">
        <f>[5]ARA_eff_age_2019!H511</f>
        <v>37.700000000000003</v>
      </c>
      <c r="P104" s="62"/>
      <c r="Q104" s="62"/>
      <c r="R104" s="62"/>
    </row>
    <row r="105" spans="2:18" x14ac:dyDescent="0.25">
      <c r="B105" s="44" t="s">
        <v>87</v>
      </c>
      <c r="C105" s="101"/>
      <c r="D105" s="101"/>
      <c r="E105" s="101"/>
      <c r="F105" s="101"/>
      <c r="G105" s="46"/>
      <c r="H105" s="46"/>
      <c r="I105" s="46"/>
      <c r="J105" s="46"/>
      <c r="K105" s="46"/>
      <c r="L105" s="107"/>
      <c r="M105" s="107"/>
      <c r="N105" s="107"/>
    </row>
    <row r="106" spans="2:18" ht="14.45" customHeight="1" x14ac:dyDescent="0.25">
      <c r="B106" s="133" t="s">
        <v>88</v>
      </c>
      <c r="C106" s="133"/>
      <c r="D106" s="133"/>
      <c r="E106" s="133"/>
      <c r="F106" s="133"/>
      <c r="G106" s="133"/>
      <c r="H106" s="133"/>
      <c r="I106" s="133"/>
      <c r="J106" s="133"/>
      <c r="K106" s="120"/>
      <c r="L106" s="107"/>
      <c r="M106" s="107"/>
      <c r="N106" s="107"/>
    </row>
    <row r="107" spans="2:18" x14ac:dyDescent="0.25">
      <c r="B107" s="47" t="s">
        <v>47</v>
      </c>
      <c r="C107" s="48"/>
      <c r="D107" s="48"/>
      <c r="E107" s="48"/>
      <c r="F107" s="48"/>
      <c r="G107" s="48"/>
      <c r="H107" s="48"/>
      <c r="I107" s="48"/>
      <c r="J107" s="48"/>
      <c r="K107" s="48"/>
    </row>
    <row r="108" spans="2:18" x14ac:dyDescent="0.25">
      <c r="B108" s="113" t="s">
        <v>94</v>
      </c>
      <c r="C108" s="48"/>
      <c r="D108" s="48"/>
      <c r="E108" s="48"/>
      <c r="F108" s="48"/>
      <c r="G108" s="48"/>
      <c r="H108" s="48"/>
      <c r="I108" s="48"/>
      <c r="J108" s="48"/>
      <c r="K108" s="48"/>
    </row>
    <row r="109" spans="2:18" x14ac:dyDescent="0.25">
      <c r="B109" s="66"/>
    </row>
    <row r="110" spans="2:18" ht="20.100000000000001" customHeight="1" thickBot="1" x14ac:dyDescent="0.3">
      <c r="B110" s="132" t="s">
        <v>3</v>
      </c>
      <c r="C110" s="132"/>
      <c r="D110" s="132"/>
      <c r="E110" s="132"/>
      <c r="F110" s="132"/>
      <c r="G110" s="132"/>
      <c r="H110" s="132"/>
      <c r="I110" s="132"/>
      <c r="J110" s="132"/>
      <c r="K110" s="132"/>
      <c r="L110" s="132"/>
      <c r="M110" s="132"/>
      <c r="N110" s="132"/>
    </row>
    <row r="111" spans="2:18" ht="42.75" customHeight="1" x14ac:dyDescent="0.25">
      <c r="B111" s="49"/>
      <c r="C111" s="67" t="s">
        <v>19</v>
      </c>
      <c r="D111" s="68"/>
      <c r="E111" s="68"/>
      <c r="F111" s="68"/>
      <c r="G111" s="69"/>
      <c r="H111" s="68"/>
      <c r="I111" s="67" t="s">
        <v>20</v>
      </c>
      <c r="J111" s="68"/>
      <c r="K111" s="68"/>
      <c r="L111" s="68"/>
      <c r="M111" s="69"/>
      <c r="N111" s="69"/>
    </row>
    <row r="112" spans="2:18" x14ac:dyDescent="0.25">
      <c r="B112" s="53"/>
      <c r="C112" s="9">
        <v>2016</v>
      </c>
      <c r="D112" s="9"/>
      <c r="E112" s="9"/>
      <c r="F112" s="10">
        <v>2019</v>
      </c>
      <c r="G112" s="10"/>
      <c r="H112" s="10"/>
      <c r="I112" s="9">
        <v>2016</v>
      </c>
      <c r="J112" s="9"/>
      <c r="K112" s="9"/>
      <c r="L112" s="10">
        <v>2019</v>
      </c>
      <c r="M112" s="10"/>
      <c r="N112" s="10"/>
    </row>
    <row r="113" spans="2:18" ht="15.75" thickBot="1" x14ac:dyDescent="0.3">
      <c r="B113" s="54"/>
      <c r="C113" s="14" t="s">
        <v>7</v>
      </c>
      <c r="D113" s="15" t="s">
        <v>8</v>
      </c>
      <c r="E113" s="16" t="s">
        <v>9</v>
      </c>
      <c r="F113" s="55" t="s">
        <v>7</v>
      </c>
      <c r="G113" s="55" t="s">
        <v>8</v>
      </c>
      <c r="H113" s="17" t="s">
        <v>9</v>
      </c>
      <c r="I113" s="14" t="s">
        <v>7</v>
      </c>
      <c r="J113" s="15" t="s">
        <v>8</v>
      </c>
      <c r="K113" s="16" t="s">
        <v>9</v>
      </c>
      <c r="L113" s="55" t="s">
        <v>7</v>
      </c>
      <c r="M113" s="55" t="s">
        <v>8</v>
      </c>
      <c r="N113" s="17" t="s">
        <v>9</v>
      </c>
    </row>
    <row r="114" spans="2:18" ht="15.75" thickBot="1" x14ac:dyDescent="0.3">
      <c r="B114" s="18"/>
      <c r="C114" s="56">
        <v>4</v>
      </c>
      <c r="D114" s="57">
        <v>2.2000000000000002</v>
      </c>
      <c r="E114" s="57">
        <v>3.6</v>
      </c>
      <c r="F114" s="56">
        <v>4.3</v>
      </c>
      <c r="G114" s="57">
        <v>2.4</v>
      </c>
      <c r="H114" s="58">
        <v>3.9</v>
      </c>
      <c r="I114" s="56">
        <f>[4]ARA_eff_age_2016!$I$252</f>
        <v>22.307086300000002</v>
      </c>
      <c r="J114" s="57">
        <f>[4]ARA_eff_age_2016!$H$252</f>
        <v>15.0814907</v>
      </c>
      <c r="K114" s="58">
        <f>[4]ARA_eff_age_2016!$J$252</f>
        <v>20.783064299999999</v>
      </c>
      <c r="L114" s="57">
        <f>[5]ARA_eff_age_2019!$I$252</f>
        <v>25.310717799999999</v>
      </c>
      <c r="M114" s="57">
        <f>[5]ARA_eff_age_2019!$H$252</f>
        <v>18.384263099999998</v>
      </c>
      <c r="N114" s="58">
        <f>[5]ARA_eff_age_2019!$J$252</f>
        <v>23.833184200000002</v>
      </c>
      <c r="P114" s="62"/>
      <c r="Q114" s="62"/>
      <c r="R114" s="62"/>
    </row>
    <row r="115" spans="2:18" x14ac:dyDescent="0.25">
      <c r="B115" s="26" t="s">
        <v>10</v>
      </c>
      <c r="C115" s="59">
        <v>1.8</v>
      </c>
      <c r="D115" s="121" t="s">
        <v>93</v>
      </c>
      <c r="E115" s="60">
        <v>1.8</v>
      </c>
      <c r="F115" s="59">
        <v>1.7</v>
      </c>
      <c r="G115" s="121" t="s">
        <v>93</v>
      </c>
      <c r="H115" s="60">
        <v>1.6</v>
      </c>
      <c r="I115" s="59">
        <f>[4]ARA_eff_age_2016!$I$245</f>
        <v>0</v>
      </c>
      <c r="J115" s="121" t="s">
        <v>93</v>
      </c>
      <c r="K115" s="60">
        <f>[4]ARA_eff_age_2016!$J$245</f>
        <v>0</v>
      </c>
      <c r="L115" s="59">
        <f>[5]ARA_eff_age_2019!$I$245</f>
        <v>0</v>
      </c>
      <c r="M115" s="121" t="s">
        <v>93</v>
      </c>
      <c r="N115" s="61">
        <f>[5]ARA_eff_age_2019!$J$245</f>
        <v>0</v>
      </c>
      <c r="P115" s="62"/>
      <c r="Q115" s="62"/>
      <c r="R115" s="62"/>
    </row>
    <row r="116" spans="2:18" x14ac:dyDescent="0.25">
      <c r="B116" s="26" t="s">
        <v>11</v>
      </c>
      <c r="C116" s="59">
        <v>3.2821974927852273</v>
      </c>
      <c r="D116" s="60">
        <v>1.8690119053778376</v>
      </c>
      <c r="E116" s="61">
        <v>3.0673155603676978</v>
      </c>
      <c r="F116" s="59">
        <v>3.3915055009021557</v>
      </c>
      <c r="G116" s="60">
        <v>1.3441317006067954</v>
      </c>
      <c r="H116" s="60">
        <v>3.070530370126908</v>
      </c>
      <c r="I116" s="59">
        <f>[4]ARA_eff_age_2016!I247</f>
        <v>7.3383849300000001</v>
      </c>
      <c r="J116" s="60">
        <f>[4]ARA_eff_age_2016!H247</f>
        <v>7.0153715600000002</v>
      </c>
      <c r="K116" s="60">
        <f>[4]ARA_eff_age_2016!J247</f>
        <v>7.2892691300000001</v>
      </c>
      <c r="L116" s="59">
        <f>[5]ARA_eff_age_2019!I247</f>
        <v>9.0177130099999996</v>
      </c>
      <c r="M116" s="60">
        <f>[5]ARA_eff_age_2019!H247</f>
        <v>2.4251361299999998</v>
      </c>
      <c r="N116" s="61">
        <f>[5]ARA_eff_age_2019!J247</f>
        <v>7.9841678700000003</v>
      </c>
      <c r="P116" s="62"/>
      <c r="Q116" s="62"/>
      <c r="R116" s="62"/>
    </row>
    <row r="117" spans="2:18" x14ac:dyDescent="0.25">
      <c r="B117" s="26" t="s">
        <v>12</v>
      </c>
      <c r="C117" s="59">
        <v>3.6950825711555999</v>
      </c>
      <c r="D117" s="60">
        <v>2.3649198628048946</v>
      </c>
      <c r="E117" s="61">
        <v>3.4080330142086184</v>
      </c>
      <c r="F117" s="59">
        <v>4.1115474362509445</v>
      </c>
      <c r="G117" s="60">
        <v>2.5876576593692633</v>
      </c>
      <c r="H117" s="60">
        <v>3.7923558022991237</v>
      </c>
      <c r="I117" s="59">
        <f>[4]ARA_eff_age_2016!I248</f>
        <v>13.804989300000001</v>
      </c>
      <c r="J117" s="60">
        <f>[4]ARA_eff_age_2016!H248</f>
        <v>14.799969900000001</v>
      </c>
      <c r="K117" s="60">
        <f>[4]ARA_eff_age_2016!J248</f>
        <v>14.0197064</v>
      </c>
      <c r="L117" s="59">
        <f>[5]ARA_eff_age_2019!I248</f>
        <v>18.417120300000001</v>
      </c>
      <c r="M117" s="60">
        <f>[5]ARA_eff_age_2019!H248</f>
        <v>11.647653200000001</v>
      </c>
      <c r="N117" s="61">
        <f>[5]ARA_eff_age_2019!J248</f>
        <v>16.999198</v>
      </c>
      <c r="P117" s="62"/>
      <c r="Q117" s="62"/>
      <c r="R117" s="62"/>
    </row>
    <row r="118" spans="2:18" x14ac:dyDescent="0.25">
      <c r="B118" s="26" t="s">
        <v>13</v>
      </c>
      <c r="C118" s="59">
        <v>4.9311871989577947</v>
      </c>
      <c r="D118" s="60">
        <v>2.207282695204476</v>
      </c>
      <c r="E118" s="61">
        <v>4.2952262898715006</v>
      </c>
      <c r="F118" s="59">
        <v>5.0477590717900904</v>
      </c>
      <c r="G118" s="60">
        <v>2.3858438767672729</v>
      </c>
      <c r="H118" s="60">
        <v>4.4194187734464947</v>
      </c>
      <c r="I118" s="59">
        <f>[4]ARA_eff_age_2016!I249</f>
        <v>29.899675800000001</v>
      </c>
      <c r="J118" s="60">
        <f>[4]ARA_eff_age_2016!H249</f>
        <v>10.889640099999999</v>
      </c>
      <c r="K118" s="60">
        <f>[4]ARA_eff_age_2016!J249</f>
        <v>25.461326499999998</v>
      </c>
      <c r="L118" s="59">
        <f>[5]ARA_eff_age_2019!I249</f>
        <v>34.084972</v>
      </c>
      <c r="M118" s="60">
        <f>[5]ARA_eff_age_2019!H249</f>
        <v>14.898646400000001</v>
      </c>
      <c r="N118" s="61">
        <f>[5]ARA_eff_age_2019!J249</f>
        <v>29.556074299999999</v>
      </c>
      <c r="P118" s="62"/>
      <c r="Q118" s="62"/>
      <c r="R118" s="62"/>
    </row>
    <row r="119" spans="2:18" x14ac:dyDescent="0.25">
      <c r="B119" s="26" t="s">
        <v>14</v>
      </c>
      <c r="C119" s="59">
        <v>4.2211096877087817</v>
      </c>
      <c r="D119" s="60">
        <v>2.5055731918232875</v>
      </c>
      <c r="E119" s="61">
        <v>3.8288736920280222</v>
      </c>
      <c r="F119" s="59">
        <v>4.6424706559883484</v>
      </c>
      <c r="G119" s="60">
        <v>2.7743793088911985</v>
      </c>
      <c r="H119" s="60">
        <v>4.2103073575559842</v>
      </c>
      <c r="I119" s="59">
        <f>[4]ARA_eff_age_2016!I250</f>
        <v>37.169347199999997</v>
      </c>
      <c r="J119" s="60">
        <f>[4]ARA_eff_age_2016!H250</f>
        <v>25.466745899999999</v>
      </c>
      <c r="K119" s="60">
        <f>[4]ARA_eff_age_2016!J250</f>
        <v>34.4936936</v>
      </c>
      <c r="L119" s="59">
        <f>[5]ARA_eff_age_2019!I250</f>
        <v>32.008635699999999</v>
      </c>
      <c r="M119" s="60">
        <f>[5]ARA_eff_age_2019!H250</f>
        <v>25.848738000000001</v>
      </c>
      <c r="N119" s="61">
        <f>[5]ARA_eff_age_2019!J250</f>
        <v>30.583608099999999</v>
      </c>
      <c r="P119" s="62"/>
      <c r="Q119" s="62"/>
      <c r="R119" s="62"/>
    </row>
    <row r="120" spans="2:18" ht="15.75" thickBot="1" x14ac:dyDescent="0.3">
      <c r="B120" s="36" t="s">
        <v>15</v>
      </c>
      <c r="C120" s="63">
        <v>3.6392104181410203</v>
      </c>
      <c r="D120" s="64">
        <v>1.5212979528409651</v>
      </c>
      <c r="E120" s="65">
        <v>3.1117784063895133</v>
      </c>
      <c r="F120" s="63">
        <v>3.7706863264724584</v>
      </c>
      <c r="G120" s="64">
        <v>2.5984325380153845</v>
      </c>
      <c r="H120" s="64">
        <v>3.4756904792817283</v>
      </c>
      <c r="I120" s="63">
        <f>[4]ARA_eff_age_2016!I251</f>
        <v>21.963875699999999</v>
      </c>
      <c r="J120" s="64">
        <f>[4]ARA_eff_age_2016!H251</f>
        <v>10.2421316</v>
      </c>
      <c r="K120" s="65">
        <f>[4]ARA_eff_age_2016!J251</f>
        <v>19.044764000000001</v>
      </c>
      <c r="L120" s="63">
        <f>[5]ARA_eff_age_2019!I251</f>
        <v>50.123576200000002</v>
      </c>
      <c r="M120" s="64">
        <f>[5]ARA_eff_age_2019!H251</f>
        <v>55.824575000000003</v>
      </c>
      <c r="N120" s="65">
        <f>[5]ARA_eff_age_2019!J251</f>
        <v>51.558223699999999</v>
      </c>
      <c r="P120" s="62"/>
      <c r="Q120" s="62"/>
      <c r="R120" s="62"/>
    </row>
    <row r="121" spans="2:18" x14ac:dyDescent="0.25">
      <c r="B121" s="44" t="s">
        <v>87</v>
      </c>
      <c r="C121" s="101"/>
      <c r="D121" s="101"/>
      <c r="E121" s="101"/>
      <c r="F121" s="101"/>
      <c r="G121" s="46"/>
      <c r="H121" s="46"/>
      <c r="I121" s="46"/>
      <c r="J121" s="46"/>
      <c r="K121" s="46"/>
      <c r="L121" s="107"/>
      <c r="M121" s="107"/>
      <c r="N121" s="107"/>
    </row>
    <row r="122" spans="2:18" ht="14.45" customHeight="1" x14ac:dyDescent="0.25">
      <c r="B122" s="133" t="s">
        <v>88</v>
      </c>
      <c r="C122" s="133"/>
      <c r="D122" s="133"/>
      <c r="E122" s="133"/>
      <c r="F122" s="133"/>
      <c r="G122" s="133"/>
      <c r="H122" s="133"/>
      <c r="I122" s="133"/>
      <c r="J122" s="133"/>
      <c r="K122" s="120"/>
      <c r="L122" s="107"/>
      <c r="M122" s="107"/>
      <c r="N122" s="107"/>
    </row>
    <row r="123" spans="2:18" x14ac:dyDescent="0.25">
      <c r="B123" s="112" t="s">
        <v>49</v>
      </c>
      <c r="C123" s="48"/>
      <c r="D123" s="48"/>
      <c r="E123" s="48"/>
      <c r="F123" s="48"/>
      <c r="G123" s="48"/>
      <c r="H123" s="48"/>
      <c r="I123" s="48"/>
      <c r="J123" s="48"/>
      <c r="K123" s="48"/>
    </row>
    <row r="124" spans="2:18" x14ac:dyDescent="0.25">
      <c r="B124" s="113" t="s">
        <v>94</v>
      </c>
      <c r="C124" s="48"/>
      <c r="D124" s="48"/>
      <c r="E124" s="48"/>
      <c r="F124" s="48"/>
      <c r="G124" s="48"/>
      <c r="H124" s="48"/>
      <c r="I124" s="48"/>
      <c r="J124" s="48"/>
      <c r="K124" s="48"/>
    </row>
    <row r="125" spans="2:18" ht="15.75" thickBot="1" x14ac:dyDescent="0.3"/>
    <row r="126" spans="2:18" ht="15" customHeight="1" thickTop="1" x14ac:dyDescent="0.25">
      <c r="B126" s="187" t="s">
        <v>77</v>
      </c>
      <c r="C126" s="188"/>
      <c r="D126" s="188"/>
      <c r="E126" s="188"/>
      <c r="F126" s="188"/>
      <c r="G126" s="188"/>
      <c r="H126" s="189"/>
    </row>
    <row r="127" spans="2:18" x14ac:dyDescent="0.25">
      <c r="B127" s="190"/>
      <c r="C127" s="191"/>
      <c r="D127" s="191"/>
      <c r="E127" s="191"/>
      <c r="F127" s="191"/>
      <c r="G127" s="191"/>
      <c r="H127" s="192"/>
    </row>
    <row r="128" spans="2:18" x14ac:dyDescent="0.25">
      <c r="B128" s="190"/>
      <c r="C128" s="191"/>
      <c r="D128" s="191"/>
      <c r="E128" s="191"/>
      <c r="F128" s="191"/>
      <c r="G128" s="191"/>
      <c r="H128" s="192"/>
    </row>
    <row r="129" spans="2:8" x14ac:dyDescent="0.25">
      <c r="B129" s="190"/>
      <c r="C129" s="191"/>
      <c r="D129" s="191"/>
      <c r="E129" s="191"/>
      <c r="F129" s="191"/>
      <c r="G129" s="191"/>
      <c r="H129" s="192"/>
    </row>
    <row r="130" spans="2:8" x14ac:dyDescent="0.25">
      <c r="B130" s="190"/>
      <c r="C130" s="191"/>
      <c r="D130" s="191"/>
      <c r="E130" s="191"/>
      <c r="F130" s="191"/>
      <c r="G130" s="191"/>
      <c r="H130" s="192"/>
    </row>
    <row r="131" spans="2:8" x14ac:dyDescent="0.25">
      <c r="B131" s="190"/>
      <c r="C131" s="191"/>
      <c r="D131" s="191"/>
      <c r="E131" s="191"/>
      <c r="F131" s="191"/>
      <c r="G131" s="191"/>
      <c r="H131" s="192"/>
    </row>
    <row r="132" spans="2:8" x14ac:dyDescent="0.25">
      <c r="B132" s="190"/>
      <c r="C132" s="191"/>
      <c r="D132" s="191"/>
      <c r="E132" s="191"/>
      <c r="F132" s="191"/>
      <c r="G132" s="191"/>
      <c r="H132" s="192"/>
    </row>
    <row r="133" spans="2:8" x14ac:dyDescent="0.25">
      <c r="B133" s="190"/>
      <c r="C133" s="191"/>
      <c r="D133" s="191"/>
      <c r="E133" s="191"/>
      <c r="F133" s="191"/>
      <c r="G133" s="191"/>
      <c r="H133" s="192"/>
    </row>
    <row r="134" spans="2:8" x14ac:dyDescent="0.25">
      <c r="B134" s="190"/>
      <c r="C134" s="191"/>
      <c r="D134" s="191"/>
      <c r="E134" s="191"/>
      <c r="F134" s="191"/>
      <c r="G134" s="191"/>
      <c r="H134" s="192"/>
    </row>
    <row r="135" spans="2:8" x14ac:dyDescent="0.25">
      <c r="B135" s="190"/>
      <c r="C135" s="191"/>
      <c r="D135" s="191"/>
      <c r="E135" s="191"/>
      <c r="F135" s="191"/>
      <c r="G135" s="191"/>
      <c r="H135" s="192"/>
    </row>
    <row r="136" spans="2:8" x14ac:dyDescent="0.25">
      <c r="B136" s="190"/>
      <c r="C136" s="191"/>
      <c r="D136" s="191"/>
      <c r="E136" s="191"/>
      <c r="F136" s="191"/>
      <c r="G136" s="191"/>
      <c r="H136" s="192"/>
    </row>
    <row r="137" spans="2:8" x14ac:dyDescent="0.25">
      <c r="B137" s="190"/>
      <c r="C137" s="191"/>
      <c r="D137" s="191"/>
      <c r="E137" s="191"/>
      <c r="F137" s="191"/>
      <c r="G137" s="191"/>
      <c r="H137" s="192"/>
    </row>
    <row r="138" spans="2:8" x14ac:dyDescent="0.25">
      <c r="B138" s="190"/>
      <c r="C138" s="191"/>
      <c r="D138" s="191"/>
      <c r="E138" s="191"/>
      <c r="F138" s="191"/>
      <c r="G138" s="191"/>
      <c r="H138" s="192"/>
    </row>
    <row r="139" spans="2:8" x14ac:dyDescent="0.25">
      <c r="B139" s="190"/>
      <c r="C139" s="191"/>
      <c r="D139" s="191"/>
      <c r="E139" s="191"/>
      <c r="F139" s="191"/>
      <c r="G139" s="191"/>
      <c r="H139" s="192"/>
    </row>
    <row r="140" spans="2:8" x14ac:dyDescent="0.25">
      <c r="B140" s="190"/>
      <c r="C140" s="191"/>
      <c r="D140" s="191"/>
      <c r="E140" s="191"/>
      <c r="F140" s="191"/>
      <c r="G140" s="191"/>
      <c r="H140" s="192"/>
    </row>
    <row r="141" spans="2:8" x14ac:dyDescent="0.25">
      <c r="B141" s="190"/>
      <c r="C141" s="191"/>
      <c r="D141" s="191"/>
      <c r="E141" s="191"/>
      <c r="F141" s="191"/>
      <c r="G141" s="191"/>
      <c r="H141" s="192"/>
    </row>
    <row r="142" spans="2:8" x14ac:dyDescent="0.25">
      <c r="B142" s="190"/>
      <c r="C142" s="191"/>
      <c r="D142" s="191"/>
      <c r="E142" s="191"/>
      <c r="F142" s="191"/>
      <c r="G142" s="191"/>
      <c r="H142" s="192"/>
    </row>
    <row r="143" spans="2:8" x14ac:dyDescent="0.25">
      <c r="B143" s="190"/>
      <c r="C143" s="191"/>
      <c r="D143" s="191"/>
      <c r="E143" s="191"/>
      <c r="F143" s="191"/>
      <c r="G143" s="191"/>
      <c r="H143" s="192"/>
    </row>
    <row r="144" spans="2:8" x14ac:dyDescent="0.25">
      <c r="B144" s="190"/>
      <c r="C144" s="191"/>
      <c r="D144" s="191"/>
      <c r="E144" s="191"/>
      <c r="F144" s="191"/>
      <c r="G144" s="191"/>
      <c r="H144" s="192"/>
    </row>
    <row r="145" spans="2:16" x14ac:dyDescent="0.25">
      <c r="B145" s="190"/>
      <c r="C145" s="191"/>
      <c r="D145" s="191"/>
      <c r="E145" s="191"/>
      <c r="F145" s="191"/>
      <c r="G145" s="191"/>
      <c r="H145" s="192"/>
    </row>
    <row r="146" spans="2:16" ht="15.75" thickBot="1" x14ac:dyDescent="0.3">
      <c r="B146" s="193"/>
      <c r="C146" s="194"/>
      <c r="D146" s="194"/>
      <c r="E146" s="194"/>
      <c r="F146" s="194"/>
      <c r="G146" s="194"/>
      <c r="H146" s="195"/>
    </row>
    <row r="147" spans="2:16" ht="15.75" customHeight="1" thickTop="1" x14ac:dyDescent="0.25">
      <c r="B147" s="2"/>
    </row>
    <row r="148" spans="2:16" ht="20.100000000000001" customHeight="1" thickBot="1" x14ac:dyDescent="0.3">
      <c r="B148" s="134" t="s">
        <v>21</v>
      </c>
      <c r="C148" s="134"/>
      <c r="D148" s="134"/>
      <c r="E148" s="134"/>
      <c r="F148" s="134"/>
      <c r="G148" s="134"/>
      <c r="H148" s="134"/>
      <c r="I148" s="134"/>
      <c r="J148" s="134"/>
      <c r="K148" s="134"/>
      <c r="L148" s="134"/>
      <c r="M148" s="134"/>
      <c r="N148" s="134"/>
    </row>
    <row r="149" spans="2:16" ht="15.75" customHeight="1" thickBot="1" x14ac:dyDescent="0.3">
      <c r="C149" s="144" t="s">
        <v>39</v>
      </c>
      <c r="D149" s="145"/>
      <c r="E149" s="145"/>
      <c r="F149" s="146"/>
      <c r="G149" s="5" t="s">
        <v>4</v>
      </c>
      <c r="H149" s="6"/>
      <c r="I149" s="6"/>
      <c r="J149" s="6"/>
      <c r="K149" s="6"/>
      <c r="L149" s="7"/>
      <c r="M149" s="7"/>
      <c r="N149" s="8"/>
    </row>
    <row r="150" spans="2:16" x14ac:dyDescent="0.25">
      <c r="B150" s="147"/>
      <c r="C150" s="149" t="s">
        <v>5</v>
      </c>
      <c r="D150" s="150"/>
      <c r="E150" s="150" t="s">
        <v>6</v>
      </c>
      <c r="F150" s="151"/>
      <c r="G150" s="9">
        <v>2016</v>
      </c>
      <c r="H150" s="9"/>
      <c r="I150" s="9"/>
      <c r="J150" s="175">
        <v>2019</v>
      </c>
      <c r="K150" s="176"/>
      <c r="L150" s="176"/>
      <c r="M150" s="176"/>
      <c r="N150" s="177"/>
    </row>
    <row r="151" spans="2:16" ht="15.75" thickBot="1" x14ac:dyDescent="0.3">
      <c r="B151" s="148"/>
      <c r="C151" s="11" t="s">
        <v>7</v>
      </c>
      <c r="D151" s="12" t="s">
        <v>8</v>
      </c>
      <c r="E151" s="12" t="s">
        <v>7</v>
      </c>
      <c r="F151" s="13" t="s">
        <v>8</v>
      </c>
      <c r="G151" s="14" t="s">
        <v>7</v>
      </c>
      <c r="H151" s="15" t="s">
        <v>8</v>
      </c>
      <c r="I151" s="16" t="s">
        <v>9</v>
      </c>
      <c r="J151" s="70" t="s">
        <v>7</v>
      </c>
      <c r="K151" s="55"/>
      <c r="L151" s="55" t="s">
        <v>8</v>
      </c>
      <c r="M151" s="55"/>
      <c r="N151" s="17" t="s">
        <v>9</v>
      </c>
    </row>
    <row r="152" spans="2:16" ht="15.75" thickBot="1" x14ac:dyDescent="0.3">
      <c r="B152" s="18"/>
      <c r="C152" s="19">
        <v>0.13</v>
      </c>
      <c r="D152" s="20">
        <v>0.87</v>
      </c>
      <c r="E152" s="19">
        <v>1</v>
      </c>
      <c r="F152" s="20">
        <v>1</v>
      </c>
      <c r="G152" s="21">
        <v>151</v>
      </c>
      <c r="H152" s="22">
        <v>10486</v>
      </c>
      <c r="I152" s="23">
        <v>10637</v>
      </c>
      <c r="J152" s="21">
        <f>SUM(J153:J157)</f>
        <v>154</v>
      </c>
      <c r="K152" s="24">
        <v>1</v>
      </c>
      <c r="L152" s="25">
        <f>SUM(L153:L157)</f>
        <v>10628</v>
      </c>
      <c r="M152" s="24">
        <v>1</v>
      </c>
      <c r="N152" s="23">
        <f t="shared" ref="N152:N157" si="7">J152+L152</f>
        <v>10782</v>
      </c>
      <c r="P152" s="118"/>
    </row>
    <row r="153" spans="2:16" x14ac:dyDescent="0.25">
      <c r="B153" s="26" t="s">
        <v>10</v>
      </c>
      <c r="C153" s="27">
        <v>0.04</v>
      </c>
      <c r="D153" s="28">
        <v>0.96</v>
      </c>
      <c r="E153" s="29">
        <v>1.7798786181139122E-2</v>
      </c>
      <c r="F153" s="30">
        <v>6.0428135598997838E-2</v>
      </c>
      <c r="G153" s="31">
        <v>16</v>
      </c>
      <c r="H153" s="32">
        <v>751</v>
      </c>
      <c r="I153" s="33">
        <v>767</v>
      </c>
      <c r="J153" s="31">
        <v>19</v>
      </c>
      <c r="K153" s="71">
        <f t="shared" ref="K153:K157" si="8">J153/$J$152</f>
        <v>0.12337662337662338</v>
      </c>
      <c r="L153" s="32">
        <v>791</v>
      </c>
      <c r="M153" s="71">
        <f t="shared" ref="M153:M157" si="9">L153/$L$152</f>
        <v>7.4426044410989836E-2</v>
      </c>
      <c r="N153" s="33">
        <f t="shared" si="7"/>
        <v>810</v>
      </c>
      <c r="P153" s="118"/>
    </row>
    <row r="154" spans="2:16" x14ac:dyDescent="0.25">
      <c r="B154" s="26" t="s">
        <v>11</v>
      </c>
      <c r="C154" s="27">
        <v>0.08</v>
      </c>
      <c r="D154" s="28">
        <v>0.92</v>
      </c>
      <c r="E154" s="29">
        <v>0.15184407096171801</v>
      </c>
      <c r="F154" s="30">
        <v>0.24850442281799123</v>
      </c>
      <c r="G154" s="31">
        <v>43</v>
      </c>
      <c r="H154" s="32">
        <v>3036</v>
      </c>
      <c r="I154" s="33">
        <v>3079</v>
      </c>
      <c r="J154" s="31">
        <v>48</v>
      </c>
      <c r="K154" s="71">
        <f t="shared" si="8"/>
        <v>0.31168831168831168</v>
      </c>
      <c r="L154" s="32">
        <v>2963</v>
      </c>
      <c r="M154" s="71">
        <f t="shared" si="9"/>
        <v>0.27879187053067367</v>
      </c>
      <c r="N154" s="33">
        <f t="shared" si="7"/>
        <v>3011</v>
      </c>
      <c r="P154" s="118"/>
    </row>
    <row r="155" spans="2:16" x14ac:dyDescent="0.25">
      <c r="B155" s="26" t="s">
        <v>12</v>
      </c>
      <c r="C155" s="27">
        <v>0.12</v>
      </c>
      <c r="D155" s="28">
        <v>0.88</v>
      </c>
      <c r="E155" s="29">
        <v>0.25</v>
      </c>
      <c r="F155" s="30">
        <v>0.26939989432958944</v>
      </c>
      <c r="G155" s="31">
        <v>32</v>
      </c>
      <c r="H155" s="32">
        <v>2811</v>
      </c>
      <c r="I155" s="33">
        <v>2843</v>
      </c>
      <c r="J155" s="31">
        <v>36</v>
      </c>
      <c r="K155" s="71">
        <f t="shared" si="8"/>
        <v>0.23376623376623376</v>
      </c>
      <c r="L155" s="32">
        <v>2885</v>
      </c>
      <c r="M155" s="71">
        <f t="shared" si="9"/>
        <v>0.27145276627775689</v>
      </c>
      <c r="N155" s="33">
        <f t="shared" si="7"/>
        <v>2921</v>
      </c>
      <c r="P155" s="118"/>
    </row>
    <row r="156" spans="2:16" x14ac:dyDescent="0.25">
      <c r="B156" s="26" t="s">
        <v>13</v>
      </c>
      <c r="C156" s="27">
        <v>0.16</v>
      </c>
      <c r="D156" s="28">
        <v>0.84</v>
      </c>
      <c r="E156" s="29">
        <v>0.27771942110177406</v>
      </c>
      <c r="F156" s="30">
        <v>0.21514154721933429</v>
      </c>
      <c r="G156" s="31">
        <v>24</v>
      </c>
      <c r="H156" s="32">
        <v>2117</v>
      </c>
      <c r="I156" s="33">
        <v>2141</v>
      </c>
      <c r="J156" s="31">
        <v>27</v>
      </c>
      <c r="K156" s="71">
        <f t="shared" si="8"/>
        <v>0.17532467532467533</v>
      </c>
      <c r="L156" s="32">
        <v>2105</v>
      </c>
      <c r="M156" s="71">
        <f t="shared" si="9"/>
        <v>0.19806172374858863</v>
      </c>
      <c r="N156" s="33">
        <f t="shared" si="7"/>
        <v>2132</v>
      </c>
      <c r="P156" s="118"/>
    </row>
    <row r="157" spans="2:16" ht="15.75" thickBot="1" x14ac:dyDescent="0.3">
      <c r="B157" s="123" t="s">
        <v>95</v>
      </c>
      <c r="C157" s="124">
        <v>0.18</v>
      </c>
      <c r="D157" s="125">
        <v>0.82</v>
      </c>
      <c r="E157" s="102">
        <v>0.3</v>
      </c>
      <c r="F157" s="103">
        <v>0.2</v>
      </c>
      <c r="G157" s="93">
        <v>36</v>
      </c>
      <c r="H157" s="94">
        <v>1750</v>
      </c>
      <c r="I157" s="82">
        <f>G157+H157</f>
        <v>1786</v>
      </c>
      <c r="J157" s="93">
        <v>24</v>
      </c>
      <c r="K157" s="72">
        <f t="shared" si="8"/>
        <v>0.15584415584415584</v>
      </c>
      <c r="L157" s="94">
        <v>1884</v>
      </c>
      <c r="M157" s="72">
        <f t="shared" si="9"/>
        <v>0.17726759503199097</v>
      </c>
      <c r="N157" s="82">
        <f t="shared" si="7"/>
        <v>1908</v>
      </c>
      <c r="P157" s="118"/>
    </row>
    <row r="158" spans="2:16" x14ac:dyDescent="0.25">
      <c r="B158" s="44" t="s">
        <v>87</v>
      </c>
      <c r="C158" s="101"/>
      <c r="D158" s="101"/>
      <c r="E158" s="101"/>
      <c r="F158" s="101"/>
      <c r="G158" s="46"/>
      <c r="H158" s="46"/>
      <c r="I158" s="46"/>
      <c r="J158" s="46"/>
      <c r="K158" s="46"/>
      <c r="L158" s="107"/>
      <c r="M158" s="107"/>
      <c r="N158" s="107"/>
    </row>
    <row r="159" spans="2:16" ht="14.45" customHeight="1" x14ac:dyDescent="0.25">
      <c r="B159" s="133" t="s">
        <v>88</v>
      </c>
      <c r="C159" s="133"/>
      <c r="D159" s="133"/>
      <c r="E159" s="133"/>
      <c r="F159" s="133"/>
      <c r="G159" s="133"/>
      <c r="H159" s="133"/>
      <c r="I159" s="133"/>
      <c r="J159" s="133"/>
      <c r="K159" s="120"/>
      <c r="L159" s="107"/>
      <c r="M159" s="107"/>
      <c r="N159" s="107"/>
    </row>
    <row r="160" spans="2:16" x14ac:dyDescent="0.25">
      <c r="B160" s="112" t="s">
        <v>50</v>
      </c>
      <c r="C160" s="48"/>
      <c r="D160" s="48"/>
      <c r="E160" s="48"/>
      <c r="F160" s="48"/>
      <c r="G160" s="48"/>
      <c r="H160" s="48"/>
      <c r="I160" s="48"/>
      <c r="J160" s="48"/>
      <c r="K160" s="48"/>
    </row>
    <row r="161" spans="2:18" x14ac:dyDescent="0.25">
      <c r="B161" s="66" t="s">
        <v>22</v>
      </c>
    </row>
    <row r="163" spans="2:18" ht="20.100000000000001" customHeight="1" thickBot="1" x14ac:dyDescent="0.3">
      <c r="B163" s="132" t="s">
        <v>21</v>
      </c>
      <c r="C163" s="132"/>
      <c r="D163" s="132"/>
      <c r="E163" s="132"/>
      <c r="F163" s="132"/>
      <c r="G163" s="132"/>
      <c r="H163" s="132"/>
      <c r="I163" s="132"/>
      <c r="J163" s="132"/>
      <c r="K163" s="132"/>
      <c r="L163" s="132"/>
      <c r="M163" s="132"/>
      <c r="N163" s="132"/>
    </row>
    <row r="164" spans="2:18" ht="29.25" customHeight="1" x14ac:dyDescent="0.25">
      <c r="B164" s="49"/>
      <c r="C164" s="50" t="s">
        <v>17</v>
      </c>
      <c r="D164" s="51"/>
      <c r="E164" s="51"/>
      <c r="F164" s="51"/>
      <c r="G164" s="52"/>
      <c r="H164" s="51"/>
      <c r="I164" s="50" t="s">
        <v>18</v>
      </c>
      <c r="J164" s="51"/>
      <c r="K164" s="51"/>
      <c r="L164" s="51"/>
      <c r="M164" s="52"/>
      <c r="N164" s="52"/>
    </row>
    <row r="165" spans="2:18" x14ac:dyDescent="0.25">
      <c r="B165" s="53"/>
      <c r="C165" s="9">
        <v>2016</v>
      </c>
      <c r="D165" s="9"/>
      <c r="E165" s="9"/>
      <c r="F165" s="10">
        <v>2019</v>
      </c>
      <c r="G165" s="10"/>
      <c r="H165" s="10"/>
      <c r="I165" s="9">
        <v>2016</v>
      </c>
      <c r="J165" s="9"/>
      <c r="K165" s="9"/>
      <c r="L165" s="10">
        <v>2019</v>
      </c>
      <c r="M165" s="10"/>
      <c r="N165" s="10"/>
    </row>
    <row r="166" spans="2:18" ht="15.75" thickBot="1" x14ac:dyDescent="0.3">
      <c r="B166" s="54"/>
      <c r="C166" s="14" t="s">
        <v>7</v>
      </c>
      <c r="D166" s="15" t="s">
        <v>8</v>
      </c>
      <c r="E166" s="16" t="s">
        <v>9</v>
      </c>
      <c r="F166" s="55" t="s">
        <v>7</v>
      </c>
      <c r="G166" s="55" t="s">
        <v>8</v>
      </c>
      <c r="H166" s="17" t="s">
        <v>9</v>
      </c>
      <c r="I166" s="14" t="s">
        <v>7</v>
      </c>
      <c r="J166" s="15" t="s">
        <v>8</v>
      </c>
      <c r="K166" s="16" t="s">
        <v>9</v>
      </c>
      <c r="L166" s="55" t="s">
        <v>7</v>
      </c>
      <c r="M166" s="55" t="s">
        <v>8</v>
      </c>
      <c r="N166" s="17" t="s">
        <v>9</v>
      </c>
    </row>
    <row r="167" spans="2:18" ht="15.75" thickBot="1" x14ac:dyDescent="0.3">
      <c r="B167" s="18"/>
      <c r="C167" s="56">
        <v>8.9</v>
      </c>
      <c r="D167" s="57">
        <v>88.070469841018692</v>
      </c>
      <c r="E167" s="57">
        <v>78.5</v>
      </c>
      <c r="F167" s="56">
        <f>J152/([3]NA88_AGE_SEXE!$D$940+[3]NA88_AGE_SEXE!$D$942+[3]NA88_AGE_SEXE!$D$944+[3]NA88_AGE_SEXE!$D$946+[3]NA88_AGE_SEXE!$D$948+[3]NA88_AGE_SEXE!$D$950+[3]NA88_AGE_SEXE!$D$952+[3]NA88_AGE_SEXE!$D$954+[3]NA88_AGE_SEXE!$D$956+[3]NA88_AGE_SEXE!$D$958)*1000</f>
        <v>9.0407420453211227</v>
      </c>
      <c r="G167" s="57">
        <f>L152/([3]NA88_AGE_SEXE!$D$938+[3]NA88_AGE_SEXE!$D$939+[3]NA88_AGE_SEXE!$D$941+[3]NA88_AGE_SEXE!$D$943+[3]NA88_AGE_SEXE!$D$945+[3]NA88_AGE_SEXE!$D$947+[3]NA88_AGE_SEXE!$D$949+[3]NA88_AGE_SEXE!$D$951+[3]NA88_AGE_SEXE!$D$953+[3]NA88_AGE_SEXE!$D$955+[3]NA88_AGE_SEXE!$D$957)*1000</f>
        <v>90.8671192353072</v>
      </c>
      <c r="H167" s="58">
        <f>N152/[5]ARA_eff_age_2019!$G392*1000</f>
        <v>76.164222269833687</v>
      </c>
      <c r="I167" s="56">
        <f>G152/([4]ARA_eff_age_2016!$D$392)*1000000</f>
        <v>6.7299942786134732</v>
      </c>
      <c r="J167" s="57">
        <f>H152/([4]ARA_eff_age_2016!$B$392)*1000000</f>
        <v>48.062965987265365</v>
      </c>
      <c r="K167" s="58">
        <f>I152/([4]ARA_eff_age_2016!$F$392)*1000000</f>
        <v>44.136929460580916</v>
      </c>
      <c r="L167" s="57">
        <f>J152/[5]ARA_eff_age_2019!$D$392*1000000</f>
        <v>5.8141600394366169</v>
      </c>
      <c r="M167" s="57">
        <f>L152/[5]ARA_eff_age_2019!$B$392*1000000</f>
        <v>46.495774309336511</v>
      </c>
      <c r="N167" s="58">
        <f>N152/([5]ARA_eff_age_2019!$F$392)*1000000</f>
        <v>42.271251250748968</v>
      </c>
      <c r="P167" s="130"/>
      <c r="Q167" s="130"/>
      <c r="R167" s="130"/>
    </row>
    <row r="168" spans="2:18" x14ac:dyDescent="0.25">
      <c r="B168" s="26" t="s">
        <v>10</v>
      </c>
      <c r="C168" s="59">
        <v>54.228096932723261</v>
      </c>
      <c r="D168" s="60">
        <v>97.004736569494</v>
      </c>
      <c r="E168" s="61">
        <v>95.434331972118727</v>
      </c>
      <c r="F168" s="59">
        <f>J153/([3]NA88_AGE_SEXE!$D$940)*1000</f>
        <v>62.295081967213115</v>
      </c>
      <c r="G168" s="60">
        <f>L153/([3]NA88_AGE_SEXE!$D$938+[3]NA88_AGE_SEXE!$D$939)*1000</f>
        <v>111.54985192497533</v>
      </c>
      <c r="H168" s="61">
        <f>N153/[5]ARA_eff_age_2019!$F$385*1000000</f>
        <v>67.127559351011854</v>
      </c>
      <c r="I168" s="59">
        <f>G153/([4]ARA_eff_age_2016!$D385)*1000000</f>
        <v>67.187368774670361</v>
      </c>
      <c r="J168" s="60">
        <f>H153/([4]ARA_eff_age_2016!$B$385)*1000000</f>
        <v>70.879628458614405</v>
      </c>
      <c r="K168" s="61">
        <f>I153/([4]ARA_eff_age_2016!$F385)*1000000</f>
        <v>70.79846639629713</v>
      </c>
      <c r="L168" s="59">
        <f>J153/[5]ARA_eff_age_2019!$D385*1000000</f>
        <v>51.968938985730425</v>
      </c>
      <c r="M168" s="60">
        <f>L153/[5]ARA_eff_age_2019!$B$385*1000000</f>
        <v>67.601198395757748</v>
      </c>
      <c r="N168" s="61">
        <f>N153/[5]ARA_eff_age_2019!$F$385*1000000</f>
        <v>67.127559351011854</v>
      </c>
      <c r="P168" s="130"/>
      <c r="Q168" s="130"/>
      <c r="R168" s="130"/>
    </row>
    <row r="169" spans="2:18" x14ac:dyDescent="0.25">
      <c r="B169" s="26" t="s">
        <v>11</v>
      </c>
      <c r="C169" s="59">
        <v>16.849595805626201</v>
      </c>
      <c r="D169" s="60">
        <v>97.326814531188347</v>
      </c>
      <c r="E169" s="61">
        <v>91.240821837108314</v>
      </c>
      <c r="F169" s="59">
        <f>J154/([3]NA88_AGE_SEXE!$D$942+[3]NA88_AGE_SEXE!$D$944)*1000</f>
        <v>18.447348193697156</v>
      </c>
      <c r="G169" s="60">
        <f>L154/([3]NA88_AGE_SEXE!$D$941+[3]NA88_AGE_SEXE!$D$943)*1000</f>
        <v>101.60831247213744</v>
      </c>
      <c r="H169" s="61">
        <f>N154/[5]ARA_eff_age_2019!$F387*1000000</f>
        <v>51.63884252269537</v>
      </c>
      <c r="I169" s="59">
        <f>G154/([4]ARA_eff_age_2016!$D387)*1000000</f>
        <v>12.516234720733696</v>
      </c>
      <c r="J169" s="60">
        <f>H154/([4]ARA_eff_age_2016!$B387)*1000000</f>
        <v>54.658667710313559</v>
      </c>
      <c r="K169" s="61">
        <f>I154/([4]ARA_eff_age_2016!$F387)*1000000</f>
        <v>52.203914832441122</v>
      </c>
      <c r="L169" s="59">
        <f>J154/[5]ARA_eff_age_2019!$D387*1000000</f>
        <v>11.607064872175748</v>
      </c>
      <c r="M169" s="60">
        <f>L154/[5]ARA_eff_age_2019!$B387*1000000</f>
        <v>54.694731306742355</v>
      </c>
      <c r="N169" s="61">
        <f>N154/[5]ARA_eff_age_2019!$F387*1000000</f>
        <v>51.63884252269537</v>
      </c>
      <c r="P169" s="130"/>
      <c r="Q169" s="130"/>
      <c r="R169" s="130"/>
    </row>
    <row r="170" spans="2:18" x14ac:dyDescent="0.25">
      <c r="B170" s="26" t="s">
        <v>12</v>
      </c>
      <c r="C170" s="59">
        <v>8.2957217407535104</v>
      </c>
      <c r="D170" s="60">
        <v>93.76056932778576</v>
      </c>
      <c r="E170" s="61">
        <v>84.017893476659253</v>
      </c>
      <c r="F170" s="59">
        <f>J155/([3]NA88_AGE_SEXE!$D$946+[3]NA88_AGE_SEXE!$D$948)*1000</f>
        <v>8.4033613445378155</v>
      </c>
      <c r="G170" s="60">
        <f>L155/([3]NA88_AGE_SEXE!$D$945+[3]NA88_AGE_SEXE!$D$947)*1000</f>
        <v>91.259924714516174</v>
      </c>
      <c r="H170" s="61">
        <f>N155/[5]ARA_eff_age_2019!$F388*1000000</f>
        <v>41.157324735696605</v>
      </c>
      <c r="I170" s="59">
        <f>G155/([4]ARA_eff_age_2016!$D388)*1000000</f>
        <v>5.8133440589531222</v>
      </c>
      <c r="J170" s="60">
        <f>H155/([4]ARA_eff_age_2016!$B388)*1000000</f>
        <v>48.065764882468891</v>
      </c>
      <c r="K170" s="61">
        <f>I155/([4]ARA_eff_age_2016!$F388)*1000000</f>
        <v>44.430934745287907</v>
      </c>
      <c r="L170" s="59">
        <f>J155/[5]ARA_eff_age_2019!$D388*1000000</f>
        <v>5.2152438332204429</v>
      </c>
      <c r="M170" s="60">
        <f>L155/[5]ARA_eff_age_2019!$B388*1000000</f>
        <v>45.029767321796086</v>
      </c>
      <c r="N170" s="61">
        <f>N155/[5]ARA_eff_age_2019!$F388*1000000</f>
        <v>41.157324735696605</v>
      </c>
      <c r="P170" s="130"/>
      <c r="Q170" s="130"/>
      <c r="R170" s="130"/>
    </row>
    <row r="171" spans="2:18" x14ac:dyDescent="0.25">
      <c r="B171" s="26" t="s">
        <v>13</v>
      </c>
      <c r="C171" s="59">
        <v>4.8257502030836541</v>
      </c>
      <c r="D171" s="60">
        <v>80.238692105528472</v>
      </c>
      <c r="E171" s="61">
        <v>68.277997646466034</v>
      </c>
      <c r="F171" s="59">
        <f>J156/([3]NA88_AGE_SEXE!$D$950+[3]NA88_AGE_SEXE!$D$952)*1000</f>
        <v>5.6734608110947677</v>
      </c>
      <c r="G171" s="60">
        <f>L156/([3]NA88_AGE_SEXE!$D$949+[3]NA88_AGE_SEXE!$D$951)*1000</f>
        <v>83.379545274498938</v>
      </c>
      <c r="H171" s="61">
        <f>N156/[5]ARA_eff_age_2019!$F389*1000000</f>
        <v>38.112356158026209</v>
      </c>
      <c r="I171" s="59">
        <f>G156/([4]ARA_eff_age_2016!$D389)*1000000</f>
        <v>3.5537549863624651</v>
      </c>
      <c r="J171" s="60">
        <f>H156/([4]ARA_eff_age_2016!$B389)*1000000</f>
        <v>43.794874217718196</v>
      </c>
      <c r="K171" s="61">
        <f>I156/([4]ARA_eff_age_2016!$F389)*1000000</f>
        <v>38.861977539192786</v>
      </c>
      <c r="L171" s="59">
        <f>J156/[5]ARA_eff_age_2019!$D389*1000000</f>
        <v>3.8082885377399553</v>
      </c>
      <c r="M171" s="60">
        <f>L156/[5]ARA_eff_age_2019!$B389*1000000</f>
        <v>43.091038293306653</v>
      </c>
      <c r="N171" s="61">
        <f>N156/[5]ARA_eff_age_2019!$F389*1000000</f>
        <v>38.112356158026209</v>
      </c>
      <c r="P171" s="130"/>
      <c r="Q171" s="130"/>
      <c r="R171" s="130"/>
    </row>
    <row r="172" spans="2:18" ht="15.75" thickBot="1" x14ac:dyDescent="0.3">
      <c r="B172" s="123" t="s">
        <v>95</v>
      </c>
      <c r="C172" s="109">
        <v>9.5</v>
      </c>
      <c r="D172" s="110">
        <v>70.5</v>
      </c>
      <c r="E172" s="111">
        <v>62.7</v>
      </c>
      <c r="F172" s="109">
        <v>6.3</v>
      </c>
      <c r="G172" s="110">
        <v>70.5</v>
      </c>
      <c r="H172" s="111">
        <v>61.6</v>
      </c>
      <c r="I172" s="109">
        <v>5.5</v>
      </c>
      <c r="J172" s="110">
        <v>40.299999999999997</v>
      </c>
      <c r="K172" s="111">
        <v>40</v>
      </c>
      <c r="L172" s="109">
        <v>3.5</v>
      </c>
      <c r="M172" s="110">
        <v>39.200000000000003</v>
      </c>
      <c r="N172" s="111">
        <v>34.200000000000003</v>
      </c>
      <c r="P172" s="130"/>
      <c r="Q172" s="130"/>
      <c r="R172" s="130"/>
    </row>
    <row r="173" spans="2:18" x14ac:dyDescent="0.25">
      <c r="B173" s="44" t="s">
        <v>87</v>
      </c>
      <c r="C173" s="101"/>
      <c r="D173" s="101"/>
      <c r="E173" s="101"/>
      <c r="F173" s="101"/>
      <c r="G173" s="46"/>
      <c r="H173" s="46"/>
      <c r="I173" s="46"/>
      <c r="J173" s="46"/>
      <c r="K173" s="46"/>
      <c r="L173" s="107"/>
      <c r="M173" s="107"/>
      <c r="N173" s="107"/>
    </row>
    <row r="174" spans="2:18" ht="14.45" customHeight="1" x14ac:dyDescent="0.25">
      <c r="B174" s="133" t="s">
        <v>88</v>
      </c>
      <c r="C174" s="133"/>
      <c r="D174" s="133"/>
      <c r="E174" s="133"/>
      <c r="F174" s="133"/>
      <c r="G174" s="133"/>
      <c r="H174" s="133"/>
      <c r="I174" s="133"/>
      <c r="J174" s="133"/>
      <c r="K174" s="120"/>
      <c r="L174" s="107"/>
      <c r="M174" s="107"/>
      <c r="N174" s="107"/>
    </row>
    <row r="175" spans="2:18" x14ac:dyDescent="0.25">
      <c r="B175" s="112" t="s">
        <v>51</v>
      </c>
      <c r="C175" s="48"/>
      <c r="D175" s="48"/>
      <c r="E175" s="48"/>
      <c r="F175" s="48"/>
      <c r="G175" s="48"/>
      <c r="H175" s="48"/>
      <c r="I175" s="48"/>
      <c r="J175" s="48"/>
      <c r="K175" s="48"/>
    </row>
    <row r="176" spans="2:18" x14ac:dyDescent="0.25">
      <c r="B176" s="66"/>
    </row>
    <row r="177" spans="2:18" ht="20.100000000000001" customHeight="1" thickBot="1" x14ac:dyDescent="0.3">
      <c r="B177" s="132" t="s">
        <v>21</v>
      </c>
      <c r="C177" s="132"/>
      <c r="D177" s="132"/>
      <c r="E177" s="132"/>
      <c r="F177" s="132"/>
      <c r="G177" s="132"/>
      <c r="H177" s="132"/>
      <c r="I177" s="132"/>
      <c r="J177" s="132"/>
      <c r="K177" s="132"/>
      <c r="L177" s="132"/>
      <c r="M177" s="132"/>
      <c r="N177" s="132"/>
    </row>
    <row r="178" spans="2:18" ht="42.75" customHeight="1" x14ac:dyDescent="0.25">
      <c r="B178" s="49"/>
      <c r="C178" s="67" t="s">
        <v>19</v>
      </c>
      <c r="D178" s="68"/>
      <c r="E178" s="68"/>
      <c r="F178" s="68"/>
      <c r="G178" s="69"/>
      <c r="H178" s="68"/>
      <c r="I178" s="67" t="s">
        <v>20</v>
      </c>
      <c r="J178" s="68"/>
      <c r="K178" s="68"/>
      <c r="L178" s="68"/>
      <c r="M178" s="69"/>
      <c r="N178" s="69"/>
    </row>
    <row r="179" spans="2:18" x14ac:dyDescent="0.25">
      <c r="B179" s="53"/>
      <c r="C179" s="9">
        <v>2016</v>
      </c>
      <c r="D179" s="9"/>
      <c r="E179" s="9"/>
      <c r="F179" s="10">
        <v>2019</v>
      </c>
      <c r="G179" s="10"/>
      <c r="H179" s="10"/>
      <c r="I179" s="9">
        <v>2016</v>
      </c>
      <c r="J179" s="9"/>
      <c r="K179" s="9"/>
      <c r="L179" s="10">
        <v>2019</v>
      </c>
      <c r="M179" s="10"/>
      <c r="N179" s="10"/>
    </row>
    <row r="180" spans="2:18" ht="15.75" thickBot="1" x14ac:dyDescent="0.3">
      <c r="B180" s="54"/>
      <c r="C180" s="14" t="s">
        <v>7</v>
      </c>
      <c r="D180" s="15" t="s">
        <v>8</v>
      </c>
      <c r="E180" s="16" t="s">
        <v>9</v>
      </c>
      <c r="F180" s="55" t="s">
        <v>7</v>
      </c>
      <c r="G180" s="55" t="s">
        <v>8</v>
      </c>
      <c r="H180" s="17" t="s">
        <v>9</v>
      </c>
      <c r="I180" s="14" t="s">
        <v>7</v>
      </c>
      <c r="J180" s="15" t="s">
        <v>8</v>
      </c>
      <c r="K180" s="16" t="s">
        <v>9</v>
      </c>
      <c r="L180" s="55" t="s">
        <v>7</v>
      </c>
      <c r="M180" s="55" t="s">
        <v>8</v>
      </c>
      <c r="N180" s="17" t="s">
        <v>9</v>
      </c>
    </row>
    <row r="181" spans="2:18" ht="15.75" thickBot="1" x14ac:dyDescent="0.3">
      <c r="B181" s="18"/>
      <c r="C181" s="56">
        <v>0.5</v>
      </c>
      <c r="D181" s="57">
        <v>3.6</v>
      </c>
      <c r="E181" s="57">
        <v>3.3</v>
      </c>
      <c r="F181" s="56">
        <v>0.4</v>
      </c>
      <c r="G181" s="57">
        <v>3.5</v>
      </c>
      <c r="H181" s="58">
        <v>3.2</v>
      </c>
      <c r="I181" s="56">
        <f>[4]ARA_eff_age_2016!$G$132/[4]ARA_eff_age_2016!$D$392*1000000</f>
        <v>3.5655598827091248</v>
      </c>
      <c r="J181" s="57">
        <f>[4]ARA_eff_age_2016!$F$132/([4]ARA_eff_age_2016!$B$392)*1000000</f>
        <v>45.642858602058794</v>
      </c>
      <c r="K181" s="58">
        <f>[4]ARA_eff_age_2016!$H$132/[4]ARA_eff_age_2016!$F$392*1000000</f>
        <v>41.65145228215767</v>
      </c>
      <c r="L181" s="57">
        <f>[5]ARA_eff_age_2019!$G$132/[5]ARA_eff_age_2019!$D$392*1000000</f>
        <v>4.0774628847997061</v>
      </c>
      <c r="M181" s="57">
        <f>[5]ARA_eff_age_2019!$F$132/[5]ARA_eff_age_2019!$B$392*1000000</f>
        <v>42.418425640132362</v>
      </c>
      <c r="N181" s="58">
        <f>[5]ARA_eff_age_2019!$H$132/[5]ARA_eff_age_2019!$F$392*1000000</f>
        <v>38.436964131176296</v>
      </c>
      <c r="P181" s="130"/>
      <c r="Q181" s="130"/>
      <c r="R181" s="130"/>
    </row>
    <row r="182" spans="2:18" x14ac:dyDescent="0.25">
      <c r="B182" s="26" t="s">
        <v>10</v>
      </c>
      <c r="C182" s="59">
        <v>3.3</v>
      </c>
      <c r="D182" s="60">
        <v>1.8</v>
      </c>
      <c r="E182" s="60">
        <v>1.9</v>
      </c>
      <c r="F182" s="59">
        <v>0.9</v>
      </c>
      <c r="G182" s="60">
        <v>1.6</v>
      </c>
      <c r="H182" s="60">
        <v>1.6</v>
      </c>
      <c r="I182" s="59">
        <f>[4]ARA_eff_age_2016!$G125/[4]ARA_eff_age_2016!$D385*1000000</f>
        <v>0</v>
      </c>
      <c r="J182" s="60">
        <f>[4]ARA_eff_age_2016!$F125/[4]ARA_eff_age_2016!$B385*1000000</f>
        <v>13.968288963881403</v>
      </c>
      <c r="K182" s="60">
        <f>[4]ARA_eff_age_2016!$H125/[4]ARA_eff_age_2016!$F385*1000000</f>
        <v>13.661242538007791</v>
      </c>
      <c r="L182" s="59">
        <f>[5]ARA_eff_age_2019!$G$125/[5]ARA_eff_age_2019!$D$385*1000000</f>
        <v>0</v>
      </c>
      <c r="M182" s="60">
        <f>[5]ARA_eff_age_2019!$F$125/[5]ARA_eff_age_2019!$B$385*1000000</f>
        <v>13.67407300040612</v>
      </c>
      <c r="N182" s="61">
        <f>[5]ARA_eff_age_2019!$H$125/[5]ARA_eff_age_2019!$F$385*1000000</f>
        <v>13.259764810076415</v>
      </c>
      <c r="P182" s="130"/>
      <c r="Q182" s="130"/>
      <c r="R182" s="130"/>
    </row>
    <row r="183" spans="2:18" x14ac:dyDescent="0.25">
      <c r="B183" s="26" t="s">
        <v>11</v>
      </c>
      <c r="C183" s="59">
        <v>0.70207344526534132</v>
      </c>
      <c r="D183" s="60">
        <v>2.7002570080801642</v>
      </c>
      <c r="E183" s="61">
        <v>2.5838649027921736</v>
      </c>
      <c r="F183" s="98">
        <f>[6]ARA_eff_age_2019.JP!I127/[6]ARA_eff_age_2019.JP!D387*1000</f>
        <v>0.42631782020095504</v>
      </c>
      <c r="G183" s="60">
        <v>2.5166960092886059</v>
      </c>
      <c r="H183" s="60">
        <v>2.3684409801483737</v>
      </c>
      <c r="I183" s="59">
        <f>[4]ARA_eff_age_2016!$G127/[4]ARA_eff_age_2016!$D387*1000000</f>
        <v>0.58215045212714855</v>
      </c>
      <c r="J183" s="60">
        <f>[4]ARA_eff_age_2016!$F127/[4]ARA_eff_age_2016!$B387*1000000</f>
        <v>20.884075936746946</v>
      </c>
      <c r="K183" s="60">
        <f>[4]ARA_eff_age_2016!$H127/[4]ARA_eff_age_2016!$F387*1000000</f>
        <v>19.701509917277225</v>
      </c>
      <c r="L183" s="59">
        <f>[5]ARA_eff_age_2019!$G127/[5]ARA_eff_age_2019!$D387*1000000</f>
        <v>6.0453462875915349</v>
      </c>
      <c r="M183" s="60">
        <f>[5]ARA_eff_age_2019!$F127/[5]ARA_eff_age_2019!$B387*1000000</f>
        <v>14.102860181691245</v>
      </c>
      <c r="N183" s="61">
        <f>[5]ARA_eff_age_2019!$H127/[5]ARA_eff_age_2019!$F387*1000000</f>
        <v>13.531400448491084</v>
      </c>
      <c r="P183" s="130"/>
      <c r="Q183" s="130"/>
      <c r="R183" s="130"/>
    </row>
    <row r="184" spans="2:18" x14ac:dyDescent="0.25">
      <c r="B184" s="26" t="s">
        <v>12</v>
      </c>
      <c r="C184" s="59">
        <v>0.42637245332384305</v>
      </c>
      <c r="D184" s="60">
        <v>3.5504544146391384</v>
      </c>
      <c r="E184" s="61">
        <v>3.2817004005052737</v>
      </c>
      <c r="F184" s="98">
        <f>[6]ARA_eff_age_2019.JP!I128/[6]ARA_eff_age_2019.JP!D388*1000</f>
        <v>0.46850273768430312</v>
      </c>
      <c r="G184" s="60">
        <v>3.515193765290237</v>
      </c>
      <c r="H184" s="60">
        <v>3.2188663201713172</v>
      </c>
      <c r="I184" s="59">
        <f>[4]ARA_eff_age_2016!$G128/[4]ARA_eff_age_2016!$D388*1000000</f>
        <v>2.1800040221074206</v>
      </c>
      <c r="J184" s="60">
        <f>[4]ARA_eff_age_2016!$F128/[4]ARA_eff_age_2016!$B388*1000000</f>
        <v>34.061545231546795</v>
      </c>
      <c r="K184" s="60">
        <f>[4]ARA_eff_age_2016!$H128/[4]ARA_eff_age_2016!$F388*1000000</f>
        <v>31.318886116622217</v>
      </c>
      <c r="L184" s="59">
        <f>[5]ARA_eff_age_2019!$G128/[5]ARA_eff_age_2019!$D388*1000000</f>
        <v>2.3178861480979744</v>
      </c>
      <c r="M184" s="60">
        <f>[5]ARA_eff_age_2019!$F128/[5]ARA_eff_age_2019!$B388*1000000</f>
        <v>28.79719955241379</v>
      </c>
      <c r="N184" s="61">
        <f>[5]ARA_eff_age_2019!$H128/[5]ARA_eff_age_2019!$F388*1000000</f>
        <v>26.221766974711191</v>
      </c>
      <c r="P184" s="130"/>
      <c r="Q184" s="130"/>
      <c r="R184" s="130"/>
    </row>
    <row r="185" spans="2:18" x14ac:dyDescent="0.25">
      <c r="B185" s="26" t="s">
        <v>13</v>
      </c>
      <c r="C185" s="59">
        <v>0.24224763157037471</v>
      </c>
      <c r="D185" s="60">
        <v>4.4366462509402664</v>
      </c>
      <c r="E185" s="61">
        <v>3.9224822239888395</v>
      </c>
      <c r="F185" s="98">
        <f>[6]ARA_eff_age_2019.JP!I129/[6]ARA_eff_age_2019.JP!D389*1000</f>
        <v>0.21016110819379752</v>
      </c>
      <c r="G185" s="60">
        <v>4.1741807696698698</v>
      </c>
      <c r="H185" s="60">
        <v>3.6717822901043276</v>
      </c>
      <c r="I185" s="59">
        <f>[4]ARA_eff_age_2016!$G129/[4]ARA_eff_age_2016!$D389*1000000</f>
        <v>0</v>
      </c>
      <c r="J185" s="60">
        <f>[4]ARA_eff_age_2016!$F129/[4]ARA_eff_age_2016!$B389*1000000</f>
        <v>56.269276274064012</v>
      </c>
      <c r="K185" s="60">
        <f>[4]ARA_eff_age_2016!$H129/[4]ARA_eff_age_2016!$F389*1000000</f>
        <v>49.371592202991302</v>
      </c>
      <c r="L185" s="59">
        <f>[5]ARA_eff_age_2019!$G129/[5]ARA_eff_age_2019!$D389*1000000</f>
        <v>5.0777180503199411</v>
      </c>
      <c r="M185" s="60">
        <f>[5]ARA_eff_age_2019!$F129/[5]ARA_eff_age_2019!$B389*1000000</f>
        <v>58.935439071938177</v>
      </c>
      <c r="N185" s="61">
        <f>[5]ARA_eff_age_2019!$H129/[5]ARA_eff_age_2019!$F389*1000000</f>
        <v>52.10953011287355</v>
      </c>
      <c r="P185" s="130"/>
      <c r="Q185" s="130"/>
      <c r="R185" s="130"/>
    </row>
    <row r="186" spans="2:18" ht="15.75" thickBot="1" x14ac:dyDescent="0.3">
      <c r="B186" s="123" t="s">
        <v>95</v>
      </c>
      <c r="C186" s="109">
        <v>0.7</v>
      </c>
      <c r="D186" s="110">
        <v>4.4000000000000004</v>
      </c>
      <c r="E186" s="111">
        <v>3.9</v>
      </c>
      <c r="F186" s="126">
        <v>0.4</v>
      </c>
      <c r="G186" s="110">
        <v>4.5999999999999996</v>
      </c>
      <c r="H186" s="110">
        <v>4</v>
      </c>
      <c r="I186" s="109">
        <v>10.1</v>
      </c>
      <c r="J186" s="110">
        <v>87.1</v>
      </c>
      <c r="K186" s="110">
        <v>77.400000000000006</v>
      </c>
      <c r="L186" s="109">
        <v>3.9</v>
      </c>
      <c r="M186" s="110">
        <v>81.3</v>
      </c>
      <c r="N186" s="111">
        <v>70.599999999999994</v>
      </c>
      <c r="P186" s="130"/>
      <c r="Q186" s="130"/>
      <c r="R186" s="130"/>
    </row>
    <row r="187" spans="2:18" x14ac:dyDescent="0.25">
      <c r="B187" s="44" t="s">
        <v>87</v>
      </c>
      <c r="C187" s="101"/>
      <c r="D187" s="101"/>
      <c r="E187" s="101"/>
      <c r="F187" s="101"/>
      <c r="G187" s="46"/>
      <c r="H187" s="46"/>
      <c r="I187" s="46"/>
      <c r="J187" s="46"/>
      <c r="K187" s="46"/>
      <c r="L187" s="107"/>
      <c r="M187" s="107"/>
      <c r="N187" s="107"/>
    </row>
    <row r="188" spans="2:18" ht="14.45" customHeight="1" x14ac:dyDescent="0.25">
      <c r="B188" s="133" t="s">
        <v>88</v>
      </c>
      <c r="C188" s="133"/>
      <c r="D188" s="133"/>
      <c r="E188" s="133"/>
      <c r="F188" s="133"/>
      <c r="G188" s="133"/>
      <c r="H188" s="133"/>
      <c r="I188" s="133"/>
      <c r="J188" s="133"/>
      <c r="K188" s="120"/>
      <c r="L188" s="107"/>
      <c r="M188" s="107"/>
      <c r="N188" s="107"/>
    </row>
    <row r="189" spans="2:18" x14ac:dyDescent="0.25">
      <c r="B189" s="112" t="s">
        <v>52</v>
      </c>
      <c r="C189" s="48"/>
      <c r="D189" s="48"/>
      <c r="E189" s="48"/>
      <c r="F189" s="48"/>
      <c r="G189" s="48"/>
      <c r="H189" s="48"/>
      <c r="I189" s="48"/>
      <c r="J189" s="48"/>
      <c r="K189" s="48"/>
    </row>
    <row r="190" spans="2:18" ht="15.75" thickBot="1" x14ac:dyDescent="0.3"/>
    <row r="191" spans="2:18" ht="15.75" customHeight="1" thickTop="1" x14ac:dyDescent="0.25">
      <c r="B191" s="196" t="s">
        <v>80</v>
      </c>
      <c r="C191" s="197"/>
      <c r="D191" s="197"/>
      <c r="E191" s="197"/>
      <c r="F191" s="197"/>
      <c r="G191" s="197"/>
      <c r="H191" s="198"/>
    </row>
    <row r="192" spans="2:18" x14ac:dyDescent="0.25">
      <c r="B192" s="199"/>
      <c r="C192" s="139"/>
      <c r="D192" s="139"/>
      <c r="E192" s="139"/>
      <c r="F192" s="139"/>
      <c r="G192" s="139"/>
      <c r="H192" s="200"/>
    </row>
    <row r="193" spans="2:12" x14ac:dyDescent="0.25">
      <c r="B193" s="199"/>
      <c r="C193" s="139"/>
      <c r="D193" s="139"/>
      <c r="E193" s="139"/>
      <c r="F193" s="139"/>
      <c r="G193" s="139"/>
      <c r="H193" s="200"/>
    </row>
    <row r="194" spans="2:12" x14ac:dyDescent="0.25">
      <c r="B194" s="199"/>
      <c r="C194" s="139"/>
      <c r="D194" s="139"/>
      <c r="E194" s="139"/>
      <c r="F194" s="139"/>
      <c r="G194" s="139"/>
      <c r="H194" s="200"/>
    </row>
    <row r="195" spans="2:12" x14ac:dyDescent="0.25">
      <c r="B195" s="199"/>
      <c r="C195" s="139"/>
      <c r="D195" s="139"/>
      <c r="E195" s="139"/>
      <c r="F195" s="139"/>
      <c r="G195" s="139"/>
      <c r="H195" s="200"/>
    </row>
    <row r="196" spans="2:12" x14ac:dyDescent="0.25">
      <c r="B196" s="199"/>
      <c r="C196" s="139"/>
      <c r="D196" s="139"/>
      <c r="E196" s="139"/>
      <c r="F196" s="139"/>
      <c r="G196" s="139"/>
      <c r="H196" s="200"/>
    </row>
    <row r="197" spans="2:12" x14ac:dyDescent="0.25">
      <c r="B197" s="199"/>
      <c r="C197" s="139"/>
      <c r="D197" s="139"/>
      <c r="E197" s="139"/>
      <c r="F197" s="139"/>
      <c r="G197" s="139"/>
      <c r="H197" s="200"/>
    </row>
    <row r="198" spans="2:12" x14ac:dyDescent="0.25">
      <c r="B198" s="199"/>
      <c r="C198" s="139"/>
      <c r="D198" s="139"/>
      <c r="E198" s="139"/>
      <c r="F198" s="139"/>
      <c r="G198" s="139"/>
      <c r="H198" s="200"/>
    </row>
    <row r="199" spans="2:12" x14ac:dyDescent="0.25">
      <c r="B199" s="199"/>
      <c r="C199" s="139"/>
      <c r="D199" s="139"/>
      <c r="E199" s="139"/>
      <c r="F199" s="139"/>
      <c r="G199" s="139"/>
      <c r="H199" s="200"/>
    </row>
    <row r="200" spans="2:12" x14ac:dyDescent="0.25">
      <c r="B200" s="199"/>
      <c r="C200" s="139"/>
      <c r="D200" s="139"/>
      <c r="E200" s="139"/>
      <c r="F200" s="139"/>
      <c r="G200" s="139"/>
      <c r="H200" s="200"/>
    </row>
    <row r="201" spans="2:12" x14ac:dyDescent="0.25">
      <c r="B201" s="199"/>
      <c r="C201" s="139"/>
      <c r="D201" s="139"/>
      <c r="E201" s="139"/>
      <c r="F201" s="139"/>
      <c r="G201" s="139"/>
      <c r="H201" s="200"/>
    </row>
    <row r="202" spans="2:12" x14ac:dyDescent="0.25">
      <c r="B202" s="199"/>
      <c r="C202" s="139"/>
      <c r="D202" s="139"/>
      <c r="E202" s="139"/>
      <c r="F202" s="139"/>
      <c r="G202" s="139"/>
      <c r="H202" s="200"/>
    </row>
    <row r="203" spans="2:12" x14ac:dyDescent="0.25">
      <c r="B203" s="199"/>
      <c r="C203" s="139"/>
      <c r="D203" s="139"/>
      <c r="E203" s="139"/>
      <c r="F203" s="139"/>
      <c r="G203" s="139"/>
      <c r="H203" s="200"/>
    </row>
    <row r="204" spans="2:12" x14ac:dyDescent="0.25">
      <c r="B204" s="199"/>
      <c r="C204" s="139"/>
      <c r="D204" s="139"/>
      <c r="E204" s="139"/>
      <c r="F204" s="139"/>
      <c r="G204" s="139"/>
      <c r="H204" s="200"/>
    </row>
    <row r="205" spans="2:12" x14ac:dyDescent="0.25">
      <c r="B205" s="199"/>
      <c r="C205" s="139"/>
      <c r="D205" s="139"/>
      <c r="E205" s="139"/>
      <c r="F205" s="139"/>
      <c r="G205" s="139"/>
      <c r="H205" s="200"/>
    </row>
    <row r="206" spans="2:12" x14ac:dyDescent="0.25">
      <c r="B206" s="199"/>
      <c r="C206" s="139"/>
      <c r="D206" s="139"/>
      <c r="E206" s="139"/>
      <c r="F206" s="139"/>
      <c r="G206" s="139"/>
      <c r="H206" s="200"/>
    </row>
    <row r="207" spans="2:12" x14ac:dyDescent="0.25">
      <c r="B207" s="199"/>
      <c r="C207" s="139"/>
      <c r="D207" s="139"/>
      <c r="E207" s="139"/>
      <c r="F207" s="139"/>
      <c r="G207" s="139"/>
      <c r="H207" s="200"/>
    </row>
    <row r="208" spans="2:12" x14ac:dyDescent="0.25">
      <c r="B208" s="199"/>
      <c r="C208" s="139"/>
      <c r="D208" s="139"/>
      <c r="E208" s="139"/>
      <c r="F208" s="139"/>
      <c r="G208" s="139"/>
      <c r="H208" s="200"/>
      <c r="L208" s="73"/>
    </row>
    <row r="209" spans="2:17" x14ac:dyDescent="0.25">
      <c r="B209" s="199"/>
      <c r="C209" s="139"/>
      <c r="D209" s="139"/>
      <c r="E209" s="139"/>
      <c r="F209" s="139"/>
      <c r="G209" s="139"/>
      <c r="H209" s="200"/>
      <c r="L209" s="73"/>
    </row>
    <row r="210" spans="2:17" x14ac:dyDescent="0.25">
      <c r="B210" s="199"/>
      <c r="C210" s="139"/>
      <c r="D210" s="139"/>
      <c r="E210" s="139"/>
      <c r="F210" s="139"/>
      <c r="G210" s="139"/>
      <c r="H210" s="200"/>
      <c r="L210" s="73"/>
    </row>
    <row r="211" spans="2:17" x14ac:dyDescent="0.25">
      <c r="B211" s="199"/>
      <c r="C211" s="139"/>
      <c r="D211" s="139"/>
      <c r="E211" s="139"/>
      <c r="F211" s="139"/>
      <c r="G211" s="139"/>
      <c r="H211" s="200"/>
      <c r="L211" s="73"/>
    </row>
    <row r="212" spans="2:17" x14ac:dyDescent="0.25">
      <c r="B212" s="199"/>
      <c r="C212" s="139"/>
      <c r="D212" s="139"/>
      <c r="E212" s="139"/>
      <c r="F212" s="139"/>
      <c r="G212" s="139"/>
      <c r="H212" s="200"/>
      <c r="I212" s="73"/>
      <c r="J212" s="73"/>
      <c r="K212" s="73"/>
      <c r="L212" s="73"/>
      <c r="M212" s="73"/>
      <c r="N212" s="73"/>
    </row>
    <row r="213" spans="2:17" ht="15.75" thickBot="1" x14ac:dyDescent="0.3">
      <c r="B213" s="201"/>
      <c r="C213" s="202"/>
      <c r="D213" s="202"/>
      <c r="E213" s="202"/>
      <c r="F213" s="202"/>
      <c r="G213" s="202"/>
      <c r="H213" s="203"/>
      <c r="I213" s="73"/>
      <c r="J213" s="73"/>
      <c r="K213" s="73"/>
      <c r="M213" s="73"/>
      <c r="N213" s="73"/>
    </row>
    <row r="214" spans="2:17" ht="15.75" thickTop="1" x14ac:dyDescent="0.25">
      <c r="B214" s="2"/>
    </row>
    <row r="215" spans="2:17" ht="9.75" customHeight="1" x14ac:dyDescent="0.25">
      <c r="B215" s="2"/>
    </row>
    <row r="216" spans="2:17" x14ac:dyDescent="0.25">
      <c r="B216" s="3" t="s">
        <v>23</v>
      </c>
      <c r="C216" s="4"/>
      <c r="D216" s="4"/>
    </row>
    <row r="217" spans="2:17" ht="15.75" customHeight="1" x14ac:dyDescent="0.25">
      <c r="B217" s="2"/>
    </row>
    <row r="218" spans="2:17" ht="20.100000000000001" customHeight="1" thickBot="1" x14ac:dyDescent="0.3">
      <c r="B218" s="134" t="s">
        <v>24</v>
      </c>
      <c r="C218" s="134"/>
      <c r="D218" s="134"/>
      <c r="E218" s="134"/>
      <c r="F218" s="134"/>
      <c r="G218" s="134"/>
      <c r="H218" s="134"/>
      <c r="I218" s="134"/>
      <c r="J218" s="134"/>
      <c r="K218" s="134"/>
      <c r="L218" s="134"/>
      <c r="M218" s="134"/>
      <c r="N218" s="134"/>
    </row>
    <row r="219" spans="2:17" ht="28.5" customHeight="1" thickBot="1" x14ac:dyDescent="0.3">
      <c r="C219" s="144" t="s">
        <v>39</v>
      </c>
      <c r="D219" s="145"/>
      <c r="E219" s="145"/>
      <c r="F219" s="146"/>
      <c r="G219" s="178" t="s">
        <v>4</v>
      </c>
      <c r="H219" s="179"/>
      <c r="I219" s="179"/>
      <c r="J219" s="179"/>
      <c r="K219" s="179"/>
      <c r="L219" s="179"/>
      <c r="M219" s="179"/>
      <c r="N219" s="180"/>
    </row>
    <row r="220" spans="2:17" ht="15" customHeight="1" x14ac:dyDescent="0.25">
      <c r="B220" s="147"/>
      <c r="C220" s="149" t="s">
        <v>5</v>
      </c>
      <c r="D220" s="150"/>
      <c r="E220" s="150" t="s">
        <v>6</v>
      </c>
      <c r="F220" s="151"/>
      <c r="G220" s="9">
        <v>2016</v>
      </c>
      <c r="H220" s="9"/>
      <c r="I220" s="9"/>
      <c r="J220" s="175">
        <v>2019</v>
      </c>
      <c r="K220" s="176"/>
      <c r="L220" s="176"/>
      <c r="M220" s="176"/>
      <c r="N220" s="177"/>
    </row>
    <row r="221" spans="2:17" ht="15.75" thickBot="1" x14ac:dyDescent="0.3">
      <c r="B221" s="148"/>
      <c r="C221" s="11" t="s">
        <v>7</v>
      </c>
      <c r="D221" s="12" t="s">
        <v>8</v>
      </c>
      <c r="E221" s="12" t="s">
        <v>7</v>
      </c>
      <c r="F221" s="13" t="s">
        <v>8</v>
      </c>
      <c r="G221" s="14" t="s">
        <v>7</v>
      </c>
      <c r="H221" s="15" t="s">
        <v>8</v>
      </c>
      <c r="I221" s="16" t="s">
        <v>9</v>
      </c>
      <c r="J221" s="90" t="s">
        <v>7</v>
      </c>
      <c r="K221" s="91"/>
      <c r="L221" s="92" t="s">
        <v>8</v>
      </c>
      <c r="M221" s="92"/>
      <c r="N221" s="17" t="s">
        <v>9</v>
      </c>
    </row>
    <row r="222" spans="2:17" ht="15.75" thickBot="1" x14ac:dyDescent="0.3">
      <c r="B222" s="18"/>
      <c r="C222" s="19">
        <v>0.35</v>
      </c>
      <c r="D222" s="20">
        <v>0.65</v>
      </c>
      <c r="E222" s="19">
        <v>1</v>
      </c>
      <c r="F222" s="20">
        <v>1</v>
      </c>
      <c r="G222" s="21">
        <f>[4]ARA_eff_age_2016!$C$212</f>
        <v>1109</v>
      </c>
      <c r="H222" s="22">
        <f>[4]ARA_eff_age_2016!$B$212</f>
        <v>5833</v>
      </c>
      <c r="I222" s="23">
        <f t="shared" ref="I222:I228" si="10">G222+H222</f>
        <v>6942</v>
      </c>
      <c r="J222" s="21">
        <f>SUM(J223:J228)</f>
        <v>1656</v>
      </c>
      <c r="K222" s="24">
        <v>1</v>
      </c>
      <c r="L222" s="25">
        <f>SUM(L223:L228)</f>
        <v>7318</v>
      </c>
      <c r="M222" s="24">
        <v>1</v>
      </c>
      <c r="N222" s="23">
        <f t="shared" ref="N222:N228" si="11">J222+L222</f>
        <v>8974</v>
      </c>
    </row>
    <row r="223" spans="2:17" x14ac:dyDescent="0.25">
      <c r="B223" s="26" t="s">
        <v>10</v>
      </c>
      <c r="C223" s="27">
        <v>0.25</v>
      </c>
      <c r="D223" s="28">
        <v>0.75</v>
      </c>
      <c r="E223" s="29">
        <v>2.7226363279717537E-2</v>
      </c>
      <c r="F223" s="30">
        <v>4.2502437304237799E-2</v>
      </c>
      <c r="G223" s="31">
        <f>[4]ARA_eff_age_2016!$C$205</f>
        <v>49</v>
      </c>
      <c r="H223" s="32">
        <f>[4]ARA_eff_age_2016!$B$205</f>
        <v>216</v>
      </c>
      <c r="I223" s="33">
        <f t="shared" si="10"/>
        <v>265</v>
      </c>
      <c r="J223" s="31">
        <v>97</v>
      </c>
      <c r="K223" s="71">
        <f t="shared" ref="K223:K228" si="12">J223/$J$222</f>
        <v>5.8574879227053143E-2</v>
      </c>
      <c r="L223" s="32">
        <v>482</v>
      </c>
      <c r="M223" s="71">
        <f t="shared" ref="M223:M228" si="13">L223/$L$222</f>
        <v>6.5864990434544954E-2</v>
      </c>
      <c r="N223" s="33">
        <f t="shared" si="11"/>
        <v>579</v>
      </c>
      <c r="P223" s="118"/>
      <c r="Q223" s="119"/>
    </row>
    <row r="224" spans="2:17" x14ac:dyDescent="0.25">
      <c r="B224" s="26" t="s">
        <v>11</v>
      </c>
      <c r="C224" s="27">
        <v>0.48</v>
      </c>
      <c r="D224" s="28">
        <v>0.52</v>
      </c>
      <c r="E224" s="29">
        <v>0.34578265986661438</v>
      </c>
      <c r="F224" s="30">
        <v>0.35358543010641169</v>
      </c>
      <c r="G224" s="31">
        <f>[4]ARA_eff_age_2016!$C207</f>
        <v>467</v>
      </c>
      <c r="H224" s="32">
        <f>[4]ARA_eff_age_2016!$B207</f>
        <v>2376</v>
      </c>
      <c r="I224" s="33">
        <f t="shared" si="10"/>
        <v>2843</v>
      </c>
      <c r="J224" s="31">
        <v>673</v>
      </c>
      <c r="K224" s="71">
        <f t="shared" si="12"/>
        <v>0.40640096618357485</v>
      </c>
      <c r="L224" s="32">
        <v>2619</v>
      </c>
      <c r="M224" s="71">
        <f t="shared" si="13"/>
        <v>0.3578846679420607</v>
      </c>
      <c r="N224" s="33">
        <f t="shared" si="11"/>
        <v>3292</v>
      </c>
      <c r="P224" s="118"/>
      <c r="Q224" s="119"/>
    </row>
    <row r="225" spans="2:18" x14ac:dyDescent="0.25">
      <c r="B225" s="26" t="s">
        <v>12</v>
      </c>
      <c r="C225" s="27">
        <v>0.34</v>
      </c>
      <c r="D225" s="28">
        <v>0.66</v>
      </c>
      <c r="E225" s="29">
        <v>0.25147116516280893</v>
      </c>
      <c r="F225" s="30">
        <v>0.26134124333630648</v>
      </c>
      <c r="G225" s="31">
        <f>[4]ARA_eff_age_2016!$C208</f>
        <v>271</v>
      </c>
      <c r="H225" s="32">
        <f>[4]ARA_eff_age_2016!$B208</f>
        <v>1595</v>
      </c>
      <c r="I225" s="33">
        <f t="shared" si="10"/>
        <v>1866</v>
      </c>
      <c r="J225" s="31">
        <v>372</v>
      </c>
      <c r="K225" s="71">
        <f t="shared" si="12"/>
        <v>0.22463768115942029</v>
      </c>
      <c r="L225" s="32">
        <v>1990</v>
      </c>
      <c r="M225" s="71">
        <f t="shared" si="13"/>
        <v>0.27193222191855698</v>
      </c>
      <c r="N225" s="33">
        <f t="shared" si="11"/>
        <v>2362</v>
      </c>
      <c r="P225" s="118"/>
      <c r="Q225" s="119"/>
    </row>
    <row r="226" spans="2:18" x14ac:dyDescent="0.25">
      <c r="B226" s="26" t="s">
        <v>13</v>
      </c>
      <c r="C226" s="27">
        <v>0.36</v>
      </c>
      <c r="D226" s="28">
        <v>0.64</v>
      </c>
      <c r="E226" s="29">
        <v>0.21828167908983914</v>
      </c>
      <c r="F226" s="30">
        <v>0.20158061772698044</v>
      </c>
      <c r="G226" s="31">
        <f>[4]ARA_eff_age_2016!$C209</f>
        <v>183</v>
      </c>
      <c r="H226" s="32">
        <f>[4]ARA_eff_age_2016!$B209</f>
        <v>1082</v>
      </c>
      <c r="I226" s="33">
        <f t="shared" si="10"/>
        <v>1265</v>
      </c>
      <c r="J226" s="31">
        <v>291</v>
      </c>
      <c r="K226" s="71">
        <f t="shared" si="12"/>
        <v>0.17572463768115942</v>
      </c>
      <c r="L226" s="32">
        <v>1343</v>
      </c>
      <c r="M226" s="71">
        <f t="shared" si="13"/>
        <v>0.18352008745558895</v>
      </c>
      <c r="N226" s="33">
        <f t="shared" si="11"/>
        <v>1634</v>
      </c>
      <c r="P226" s="118"/>
      <c r="Q226" s="119"/>
    </row>
    <row r="227" spans="2:18" x14ac:dyDescent="0.25">
      <c r="B227" s="26" t="s">
        <v>14</v>
      </c>
      <c r="C227" s="27">
        <v>0.38</v>
      </c>
      <c r="D227" s="28">
        <v>0.62</v>
      </c>
      <c r="E227" s="29">
        <v>0.13801490780698314</v>
      </c>
      <c r="F227" s="30">
        <v>0.12132589350536208</v>
      </c>
      <c r="G227" s="31">
        <f>[4]ARA_eff_age_2016!$C210</f>
        <v>128</v>
      </c>
      <c r="H227" s="32">
        <f>[4]ARA_eff_age_2016!$B210</f>
        <v>499</v>
      </c>
      <c r="I227" s="33">
        <f t="shared" si="10"/>
        <v>627</v>
      </c>
      <c r="J227" s="31">
        <v>200</v>
      </c>
      <c r="K227" s="71">
        <f t="shared" si="12"/>
        <v>0.12077294685990338</v>
      </c>
      <c r="L227" s="32">
        <v>748</v>
      </c>
      <c r="M227" s="71">
        <f t="shared" si="13"/>
        <v>0.10221371959551791</v>
      </c>
      <c r="N227" s="33">
        <f t="shared" si="11"/>
        <v>948</v>
      </c>
      <c r="P227" s="118"/>
      <c r="Q227" s="119"/>
    </row>
    <row r="228" spans="2:18" ht="15.75" thickBot="1" x14ac:dyDescent="0.3">
      <c r="B228" s="36" t="s">
        <v>15</v>
      </c>
      <c r="C228" s="37">
        <v>0.34</v>
      </c>
      <c r="D228" s="38">
        <v>0.66</v>
      </c>
      <c r="E228" s="37">
        <v>1.9223224794036878E-2</v>
      </c>
      <c r="F228" s="38">
        <v>1.966437802070153E-2</v>
      </c>
      <c r="G228" s="93">
        <f>[4]ARA_eff_age_2016!$C211</f>
        <v>11</v>
      </c>
      <c r="H228" s="94">
        <f>[4]ARA_eff_age_2016!$B211</f>
        <v>65</v>
      </c>
      <c r="I228" s="82">
        <f t="shared" si="10"/>
        <v>76</v>
      </c>
      <c r="J228" s="39">
        <v>23</v>
      </c>
      <c r="K228" s="72">
        <f t="shared" si="12"/>
        <v>1.3888888888888888E-2</v>
      </c>
      <c r="L228" s="40">
        <v>136</v>
      </c>
      <c r="M228" s="72">
        <f t="shared" si="13"/>
        <v>1.8584312653730527E-2</v>
      </c>
      <c r="N228" s="82">
        <f t="shared" si="11"/>
        <v>159</v>
      </c>
      <c r="P228" s="118"/>
      <c r="Q228" s="119"/>
    </row>
    <row r="229" spans="2:18" x14ac:dyDescent="0.25">
      <c r="B229" s="44" t="s">
        <v>87</v>
      </c>
      <c r="C229" s="101"/>
      <c r="D229" s="101"/>
      <c r="E229" s="101"/>
      <c r="F229" s="101"/>
      <c r="G229" s="46"/>
      <c r="H229" s="46"/>
      <c r="I229" s="46"/>
      <c r="J229" s="46"/>
      <c r="K229" s="46"/>
      <c r="L229" s="107"/>
      <c r="M229" s="107"/>
      <c r="N229" s="107"/>
    </row>
    <row r="230" spans="2:18" ht="14.45" customHeight="1" x14ac:dyDescent="0.25">
      <c r="B230" s="133" t="s">
        <v>88</v>
      </c>
      <c r="C230" s="133"/>
      <c r="D230" s="133"/>
      <c r="E230" s="133"/>
      <c r="F230" s="133"/>
      <c r="G230" s="133"/>
      <c r="H230" s="133"/>
      <c r="I230" s="133"/>
      <c r="J230" s="133"/>
      <c r="K230" s="120"/>
      <c r="L230" s="107"/>
      <c r="M230" s="107"/>
      <c r="N230" s="107"/>
    </row>
    <row r="231" spans="2:18" x14ac:dyDescent="0.25">
      <c r="B231" s="112" t="s">
        <v>53</v>
      </c>
      <c r="C231" s="48"/>
      <c r="D231" s="48"/>
      <c r="E231" s="48"/>
      <c r="F231" s="48"/>
      <c r="G231" s="48"/>
      <c r="H231" s="48"/>
      <c r="I231" s="48"/>
      <c r="J231" s="48"/>
      <c r="K231" s="48"/>
    </row>
    <row r="232" spans="2:18" x14ac:dyDescent="0.25">
      <c r="B232" s="66" t="s">
        <v>22</v>
      </c>
    </row>
    <row r="233" spans="2:18" x14ac:dyDescent="0.25">
      <c r="B233" s="66"/>
    </row>
    <row r="234" spans="2:18" ht="20.100000000000001" customHeight="1" thickBot="1" x14ac:dyDescent="0.3">
      <c r="B234" s="132" t="s">
        <v>24</v>
      </c>
      <c r="C234" s="132"/>
      <c r="D234" s="132"/>
      <c r="E234" s="132"/>
      <c r="F234" s="132"/>
      <c r="G234" s="132"/>
      <c r="H234" s="132"/>
      <c r="I234" s="132"/>
      <c r="J234" s="132"/>
      <c r="K234" s="132"/>
      <c r="L234" s="132"/>
      <c r="M234" s="132"/>
      <c r="N234" s="132"/>
    </row>
    <row r="235" spans="2:18" ht="29.25" customHeight="1" x14ac:dyDescent="0.25">
      <c r="B235" s="49"/>
      <c r="C235" s="50" t="s">
        <v>17</v>
      </c>
      <c r="D235" s="51"/>
      <c r="E235" s="51"/>
      <c r="F235" s="51"/>
      <c r="G235" s="52"/>
      <c r="H235" s="51"/>
      <c r="I235" s="50" t="s">
        <v>18</v>
      </c>
      <c r="J235" s="51"/>
      <c r="K235" s="51"/>
      <c r="L235" s="51"/>
      <c r="M235" s="52"/>
      <c r="N235" s="52"/>
    </row>
    <row r="236" spans="2:18" x14ac:dyDescent="0.25">
      <c r="B236" s="53"/>
      <c r="C236" s="9">
        <v>2016</v>
      </c>
      <c r="D236" s="9"/>
      <c r="E236" s="9"/>
      <c r="F236" s="10">
        <v>2019</v>
      </c>
      <c r="G236" s="10"/>
      <c r="H236" s="10"/>
      <c r="I236" s="9">
        <v>2016</v>
      </c>
      <c r="J236" s="9"/>
      <c r="K236" s="9"/>
      <c r="L236" s="10">
        <v>2019</v>
      </c>
      <c r="M236" s="10"/>
      <c r="N236" s="10"/>
    </row>
    <row r="237" spans="2:18" ht="15.75" thickBot="1" x14ac:dyDescent="0.3">
      <c r="B237" s="54"/>
      <c r="C237" s="14" t="s">
        <v>7</v>
      </c>
      <c r="D237" s="15" t="s">
        <v>8</v>
      </c>
      <c r="E237" s="16" t="s">
        <v>9</v>
      </c>
      <c r="F237" s="55" t="s">
        <v>7</v>
      </c>
      <c r="G237" s="55" t="s">
        <v>8</v>
      </c>
      <c r="H237" s="17" t="s">
        <v>9</v>
      </c>
      <c r="I237" s="14" t="s">
        <v>7</v>
      </c>
      <c r="J237" s="15" t="s">
        <v>8</v>
      </c>
      <c r="K237" s="16" t="s">
        <v>9</v>
      </c>
      <c r="L237" s="55" t="s">
        <v>7</v>
      </c>
      <c r="M237" s="55" t="s">
        <v>8</v>
      </c>
      <c r="N237" s="17" t="s">
        <v>9</v>
      </c>
    </row>
    <row r="238" spans="2:18" ht="15.75" thickBot="1" x14ac:dyDescent="0.3">
      <c r="B238" s="18"/>
      <c r="C238" s="56">
        <v>45.4</v>
      </c>
      <c r="D238" s="57">
        <v>131.4</v>
      </c>
      <c r="E238" s="57">
        <v>101.3</v>
      </c>
      <c r="F238" s="56">
        <f>J222/([3]NA88_AGE_SEXE!$D$1769+[3]NA88_AGE_SEXE!$D$1771+[3]NA88_AGE_SEXE!$D$1773+[3]NA88_AGE_SEXE!$D$1775+[3]NA88_AGE_SEXE!$D$1777+[3]NA88_AGE_SEXE!$D$1779+[3]NA88_AGE_SEXE!$D$1781+[3]NA88_AGE_SEXE!$D$1783+[3]NA88_AGE_SEXE!$D$1785+[3]NA88_AGE_SEXE!$D$1787+[3]NA88_AGE_SEXE!$D$1789)*1000</f>
        <v>64.966653589643002</v>
      </c>
      <c r="G238" s="57">
        <f>L222/([3]NA88_AGE_SEXE!$D$1767+[3]NA88_AGE_SEXE!$D$1768+[3]NA88_AGE_SEXE!$D$1770+[3]NA88_AGE_SEXE!$D$1772+[3]NA88_AGE_SEXE!$D$1774+[3]NA88_AGE_SEXE!$D$1776+[3]NA88_AGE_SEXE!$D$1778+[3]NA88_AGE_SEXE!$D$1780+[3]NA88_AGE_SEXE!$D$1782+[3]NA88_AGE_SEXE!$D$1784+[3]NA88_AGE_SEXE!$D$1786+[3]NA88_AGE_SEXE!$D$1788)*1000</f>
        <v>151.79738223153353</v>
      </c>
      <c r="H238" s="58">
        <f>N222/([3]NA88_AGE_SEXE!$D$1768+[3]NA88_AGE_SEXE!$D$1769+[3]NA88_AGE_SEXE!$D$1770+[3]NA88_AGE_SEXE!$D$1771+[3]NA88_AGE_SEXE!$D$1772+[3]NA88_AGE_SEXE!$D$1773+[3]NA88_AGE_SEXE!$D$1774+[3]NA88_AGE_SEXE!$D$1775+[3]NA88_AGE_SEXE!$D$1776+[3]NA88_AGE_SEXE!$D$1777+[3]NA88_AGE_SEXE!$D$1778+[3]NA88_AGE_SEXE!$D$1779+[3]NA88_AGE_SEXE!$D$1780+[3]NA88_AGE_SEXE!$D$1781+[3]NA88_AGE_SEXE!$D$1782+[3]NA88_AGE_SEXE!$D$1783+[3]NA88_AGE_SEXE!$D$1784+[3]NA88_AGE_SEXE!$D$1785+[3]NA88_AGE_SEXE!$D$1786+[3]NA88_AGE_SEXE!$D$1787+[3]NA88_AGE_SEXE!$D$1788+[3]NA88_AGE_SEXE!$D$1789)*1000</f>
        <v>121.77051671732522</v>
      </c>
      <c r="I238" s="56">
        <f>G222/[4]ARA_eff_age_2016!$D$472*1000000</f>
        <v>23.073652242277344</v>
      </c>
      <c r="J238" s="57">
        <f>H222/[4]ARA_eff_age_2016!$B$472*1000000</f>
        <v>49.335577153386936</v>
      </c>
      <c r="K238" s="58">
        <f>I222/[4]ARA_eff_age_2016!$F$472*1000000</f>
        <v>41.745194978924985</v>
      </c>
      <c r="L238" s="57">
        <f>J222/[5]ARA_eff_age_2019!$D$472*1000000</f>
        <v>28.011796660703567</v>
      </c>
      <c r="M238" s="57">
        <f>L222/[5]ARA_eff_age_2019!$B$472*1000000</f>
        <v>51.956102900659239</v>
      </c>
      <c r="N238" s="58">
        <f>N222/[5]ARA_eff_age_2019!$F$472*1000000</f>
        <v>44.877265359998191</v>
      </c>
      <c r="P238" s="62"/>
      <c r="Q238" s="62"/>
      <c r="R238" s="62"/>
    </row>
    <row r="239" spans="2:18" x14ac:dyDescent="0.25">
      <c r="B239" s="26" t="s">
        <v>10</v>
      </c>
      <c r="C239" s="59">
        <v>98</v>
      </c>
      <c r="D239" s="60">
        <v>185.4</v>
      </c>
      <c r="E239" s="61">
        <v>162.6</v>
      </c>
      <c r="F239" s="88">
        <f>J223/[3]NA88_AGE_SEXE!$D$1769*1000</f>
        <v>139.76945244956772</v>
      </c>
      <c r="G239" s="87">
        <f>L223/([3]NA88_AGE_SEXE!$D$1767+[3]NA88_AGE_SEXE!$D$1768)*1000</f>
        <v>235.23670082967303</v>
      </c>
      <c r="H239" s="61">
        <f>N223/([3]NA88_AGE_SEXE!$D$1767+[3]NA88_AGE_SEXE!$D$1768+[3]NA88_AGE_SEXE!$D$1769)*1000</f>
        <v>211.08275610645279</v>
      </c>
      <c r="I239" s="59">
        <f>G223/[4]ARA_eff_age_2016!$D$465*1000000</f>
        <v>47.365968808059556</v>
      </c>
      <c r="J239" s="60">
        <f>H223/[4]ARA_eff_age_2016!$B$465*1000000</f>
        <v>74.564059156915235</v>
      </c>
      <c r="K239" s="61">
        <f>I223/[4]ARA_eff_age_2016!$F$465*1000000</f>
        <v>67.407110458124166</v>
      </c>
      <c r="L239" s="59">
        <f>J223/[5]ARA_eff_age_2019!$D$465*1000000</f>
        <v>62.149068795834822</v>
      </c>
      <c r="M239" s="60">
        <f>L223/[5]ARA_eff_age_2019!$B$465*1000000</f>
        <v>112.33135381561178</v>
      </c>
      <c r="N239" s="61">
        <f>N223/[5]ARA_eff_age_2019!$F$465*1000000</f>
        <v>98.946614512789097</v>
      </c>
      <c r="P239" s="62"/>
      <c r="Q239" s="62"/>
      <c r="R239" s="62"/>
    </row>
    <row r="240" spans="2:18" x14ac:dyDescent="0.25">
      <c r="B240" s="26" t="s">
        <v>11</v>
      </c>
      <c r="C240" s="59">
        <v>56.1</v>
      </c>
      <c r="D240" s="60">
        <v>140</v>
      </c>
      <c r="E240" s="61">
        <v>112.3</v>
      </c>
      <c r="F240" s="59">
        <f>J224/([3]NA88_AGE_SEXE!$D$1771+[3]NA88_AGE_SEXE!$D$1773)*1000</f>
        <v>76.355797594735648</v>
      </c>
      <c r="G240" s="60">
        <f>L224/([3]NA88_AGE_SEXE!$D$1770+[3]NA88_AGE_SEXE!$D$1772)*1000</f>
        <v>153.64308342133052</v>
      </c>
      <c r="H240" s="61">
        <f>N224/([3]NA88_AGE_SEXE!$D$1770+[3]NA88_AGE_SEXE!$D$1771+[3]NA88_AGE_SEXE!$D$1772+[3]NA88_AGE_SEXE!$D$1773)*1000</f>
        <v>127.30085073472544</v>
      </c>
      <c r="I240" s="59">
        <f>G224/[4]ARA_eff_age_2016!$D467*1000000</f>
        <v>25.711982411462415</v>
      </c>
      <c r="J240" s="60">
        <f>H224/[4]ARA_eff_age_2016!$B467*1000000</f>
        <v>52.968771453773634</v>
      </c>
      <c r="K240" s="61">
        <f>I224/[4]ARA_eff_age_2016!$F467*1000000</f>
        <v>45.113122940940194</v>
      </c>
      <c r="L240" s="59">
        <f>J224/[5]ARA_eff_age_2019!$D467*1000000</f>
        <v>30.584274388658187</v>
      </c>
      <c r="M240" s="60">
        <f>L224/[2]ARA_eff_age_2019!$B467*1000000</f>
        <v>53.16997449110076</v>
      </c>
      <c r="N240" s="61">
        <f>N224/[5]ARA_eff_age_2019!$F467*1000000</f>
        <v>46.19579585701733</v>
      </c>
      <c r="P240" s="62"/>
      <c r="Q240" s="62"/>
      <c r="R240" s="62"/>
    </row>
    <row r="241" spans="2:18" x14ac:dyDescent="0.25">
      <c r="B241" s="26" t="s">
        <v>12</v>
      </c>
      <c r="C241" s="59">
        <v>41.3</v>
      </c>
      <c r="D241" s="60">
        <v>133.6</v>
      </c>
      <c r="E241" s="61">
        <v>101.5</v>
      </c>
      <c r="F241" s="59">
        <f>J225/([3]NA88_AGE_SEXE!$D$1775+[3]NA88_AGE_SEXE!$D$1777)*1000</f>
        <v>58.034321372854912</v>
      </c>
      <c r="G241" s="60">
        <f>L225/([3]NA88_AGE_SEXE!$D$1774+[3]NA88_AGE_SEXE!$D$1776)*1000</f>
        <v>157.9490435748869</v>
      </c>
      <c r="H241" s="61">
        <f>N225/([3]NA88_AGE_SEXE!$D$1774+[3]NA88_AGE_SEXE!$D$1775+[3]NA88_AGE_SEXE!$D$1776+[3]NA88_AGE_SEXE!$D$1777)*1000</f>
        <v>124.25693092745541</v>
      </c>
      <c r="I241" s="59">
        <f>G225/[4]ARA_eff_age_2016!$D468*1000000</f>
        <v>21.914127026895024</v>
      </c>
      <c r="J241" s="60">
        <f>H225/[4]ARA_eff_age_2016!$B468*1000000</f>
        <v>49.532510919744816</v>
      </c>
      <c r="K241" s="61">
        <f>I225/[4]ARA_eff_age_2016!$F468*1000000</f>
        <v>41.869051512283889</v>
      </c>
      <c r="L241" s="59">
        <f>J225/[5]ARA_eff_age_2019!$D468*1000000</f>
        <v>25.712840107606855</v>
      </c>
      <c r="M241" s="60">
        <f>L225/[2]ARA_eff_age_2019!$B468*1000000</f>
        <v>54.784755307675795</v>
      </c>
      <c r="N241" s="61">
        <f>N225/[5]ARA_eff_age_2019!$F468*1000000</f>
        <v>46.503886721808428</v>
      </c>
      <c r="P241" s="62"/>
      <c r="Q241" s="62"/>
      <c r="R241" s="62"/>
    </row>
    <row r="242" spans="2:18" x14ac:dyDescent="0.25">
      <c r="B242" s="26" t="s">
        <v>13</v>
      </c>
      <c r="C242" s="59">
        <v>34.4</v>
      </c>
      <c r="D242" s="60">
        <v>120.1</v>
      </c>
      <c r="E242" s="61">
        <v>88.1</v>
      </c>
      <c r="F242" s="59">
        <f>J226/([3]NA88_AGE_SEXE!$D$1779+[3]NA88_AGE_SEXE!$D$1781)*1000</f>
        <v>52.300503235082672</v>
      </c>
      <c r="G242" s="60">
        <f>L226/([3]NA88_AGE_SEXE!$D$1778+[3]NA88_AGE_SEXE!$D$1780)*1000</f>
        <v>138.19715990944638</v>
      </c>
      <c r="H242" s="61">
        <f>N226/([3]NA88_AGE_SEXE!$D$1778+[3]NA88_AGE_SEXE!$D$1779+[3]NA88_AGE_SEXE!$D$1780+[3]NA88_AGE_SEXE!$D$1781)*1000</f>
        <v>106.9231775945557</v>
      </c>
      <c r="I242" s="59">
        <f>G226/[4]ARA_eff_age_2016!$D469*1000000</f>
        <v>18.167347478913218</v>
      </c>
      <c r="J242" s="60">
        <f>H226/[4]ARA_eff_age_2016!$B469*1000000</f>
        <v>46.227909403893243</v>
      </c>
      <c r="K242" s="61">
        <f>I226/[4]ARA_eff_age_2016!$F469*1000000</f>
        <v>37.785115955949543</v>
      </c>
      <c r="L242" s="59">
        <f>J226/[5]ARA_eff_age_2019!$D469*1000000</f>
        <v>24.21074429568657</v>
      </c>
      <c r="M242" s="60">
        <f>L226/[2]ARA_eff_age_2019!$B469*1000000</f>
        <v>47.166672850780571</v>
      </c>
      <c r="N242" s="61">
        <f>N226/[5]ARA_eff_age_2019!$F469*1000000</f>
        <v>40.352701877016798</v>
      </c>
      <c r="P242" s="62"/>
      <c r="Q242" s="62"/>
      <c r="R242" s="62"/>
    </row>
    <row r="243" spans="2:18" x14ac:dyDescent="0.25">
      <c r="B243" s="26" t="s">
        <v>14</v>
      </c>
      <c r="C243" s="59">
        <v>37.299999999999997</v>
      </c>
      <c r="D243" s="60">
        <v>101.8</v>
      </c>
      <c r="E243" s="61">
        <v>76.599999999999994</v>
      </c>
      <c r="F243" s="59">
        <f>J227/([3]NA88_AGE_SEXE!$D$1783+[3]NA88_AGE_SEXE!$D$1785)*1000</f>
        <v>56.850483229107446</v>
      </c>
      <c r="G243" s="60">
        <f>L227/([3]NA88_AGE_SEXE!$D$1782+[3]NA88_AGE_SEXE!$D$1784)*1000</f>
        <v>127.88510856556675</v>
      </c>
      <c r="H243" s="61">
        <f>N227/([3]NA88_AGE_SEXE!$D$1782+[3]NA88_AGE_SEXE!$D$1783+[3]NA88_AGE_SEXE!$D$1784+[3]NA88_AGE_SEXE!$D$1785)*1000</f>
        <v>101.20636276289099</v>
      </c>
      <c r="I243" s="59">
        <f>G227/[4]ARA_eff_age_2016!$D470*1000000</f>
        <v>22.567891004138914</v>
      </c>
      <c r="J243" s="60">
        <f>H227/[4]ARA_eff_age_2016!$B470*1000000</f>
        <v>39.405120091249309</v>
      </c>
      <c r="K243" s="61">
        <f>I227/[4]ARA_eff_age_2016!$F470*1000000</f>
        <v>34.196697220806605</v>
      </c>
      <c r="L243" s="59">
        <f>J227/[5]ARA_eff_age_2019!$D470*1000000</f>
        <v>25.445664755618786</v>
      </c>
      <c r="M243" s="60">
        <f>L227/[2]ARA_eff_age_2019!$B470*1000000</f>
        <v>40.390496181046188</v>
      </c>
      <c r="N243" s="61">
        <f>N227/[5]ARA_eff_age_2019!$F470*1000000</f>
        <v>35.937550931077212</v>
      </c>
      <c r="P243" s="62"/>
      <c r="Q243" s="62"/>
      <c r="R243" s="62"/>
    </row>
    <row r="244" spans="2:18" ht="15.75" thickBot="1" x14ac:dyDescent="0.3">
      <c r="B244" s="36" t="s">
        <v>15</v>
      </c>
      <c r="C244" s="127" t="s">
        <v>93</v>
      </c>
      <c r="D244" s="64">
        <v>73.7</v>
      </c>
      <c r="E244" s="65">
        <v>52.1</v>
      </c>
      <c r="F244" s="63">
        <f>J228/([3]NA88_AGE_SEXE!$D$1787+[3]NA88_AGE_SEXE!$D$1789)*1000</f>
        <v>46.938775510204081</v>
      </c>
      <c r="G244" s="64">
        <f>L228/([3]NA88_AGE_SEXE!$D$1786+[3]NA88_AGE_SEXE!$D$1788)*1000</f>
        <v>143.45991561181435</v>
      </c>
      <c r="H244" s="65">
        <f>N228/([3]NA88_AGE_SEXE!$D$1786+[3]NA88_AGE_SEXE!$D$1787+[3]NA88_AGE_SEXE!$D$1788+[3]NA88_AGE_SEXE!$D$1789)*1000</f>
        <v>110.5702364394993</v>
      </c>
      <c r="I244" s="127" t="s">
        <v>93</v>
      </c>
      <c r="J244" s="64">
        <f>H228/[4]ARA_eff_age_2016!$B471*1000000</f>
        <v>29.445393743805141</v>
      </c>
      <c r="K244" s="65">
        <f>I228/[4]ARA_eff_age_2016!$F471*1000000</f>
        <v>25.654224930168187</v>
      </c>
      <c r="L244" s="63">
        <f>J228/[5]ARA_eff_age_2019!$D471*1000000</f>
        <v>19.077760961975695</v>
      </c>
      <c r="M244" s="64">
        <f>L228/[2]ARA_eff_age_2019!$B471*1000000</f>
        <v>34.12802334481264</v>
      </c>
      <c r="N244" s="65">
        <f>N228/[5]ARA_eff_age_2019!$F471*1000000</f>
        <v>30.632372737701498</v>
      </c>
      <c r="P244" s="62"/>
      <c r="Q244" s="62"/>
      <c r="R244" s="62"/>
    </row>
    <row r="245" spans="2:18" x14ac:dyDescent="0.25">
      <c r="B245" s="44" t="s">
        <v>87</v>
      </c>
      <c r="C245" s="101"/>
      <c r="D245" s="101"/>
      <c r="E245" s="101"/>
      <c r="F245" s="101"/>
      <c r="G245" s="46"/>
      <c r="H245" s="46"/>
      <c r="I245" s="46"/>
      <c r="J245" s="46"/>
      <c r="K245" s="46"/>
      <c r="L245" s="107"/>
      <c r="M245" s="107"/>
      <c r="N245" s="107"/>
    </row>
    <row r="246" spans="2:18" ht="14.45" customHeight="1" x14ac:dyDescent="0.25">
      <c r="B246" s="133" t="s">
        <v>88</v>
      </c>
      <c r="C246" s="133"/>
      <c r="D246" s="133"/>
      <c r="E246" s="133"/>
      <c r="F246" s="133"/>
      <c r="G246" s="133"/>
      <c r="H246" s="133"/>
      <c r="I246" s="133"/>
      <c r="J246" s="133"/>
      <c r="K246" s="120"/>
      <c r="L246" s="107"/>
      <c r="M246" s="107"/>
      <c r="N246" s="107"/>
    </row>
    <row r="247" spans="2:18" x14ac:dyDescent="0.25">
      <c r="B247" s="113" t="s">
        <v>54</v>
      </c>
      <c r="C247" s="48"/>
      <c r="D247" s="48"/>
      <c r="E247" s="48"/>
      <c r="F247" s="48"/>
      <c r="G247" s="48"/>
      <c r="H247" s="48"/>
      <c r="I247" s="48"/>
      <c r="J247" s="48"/>
      <c r="K247" s="48"/>
    </row>
    <row r="248" spans="2:18" x14ac:dyDescent="0.25">
      <c r="B248" s="113" t="s">
        <v>94</v>
      </c>
      <c r="C248" s="48"/>
      <c r="D248" s="48"/>
      <c r="E248" s="48"/>
      <c r="F248" s="48"/>
      <c r="G248" s="48"/>
      <c r="H248" s="48"/>
      <c r="I248" s="48"/>
      <c r="J248" s="48"/>
      <c r="K248" s="48"/>
    </row>
    <row r="249" spans="2:18" x14ac:dyDescent="0.25">
      <c r="B249" s="66"/>
    </row>
    <row r="250" spans="2:18" ht="20.100000000000001" customHeight="1" thickBot="1" x14ac:dyDescent="0.3">
      <c r="B250" s="132" t="s">
        <v>24</v>
      </c>
      <c r="C250" s="132"/>
      <c r="D250" s="132"/>
      <c r="E250" s="132"/>
      <c r="F250" s="132"/>
      <c r="G250" s="132"/>
      <c r="H250" s="132"/>
      <c r="I250" s="132"/>
      <c r="J250" s="132"/>
      <c r="K250" s="132"/>
      <c r="L250" s="132"/>
      <c r="M250" s="132"/>
      <c r="N250" s="132"/>
    </row>
    <row r="251" spans="2:18" ht="42.75" customHeight="1" x14ac:dyDescent="0.25">
      <c r="B251" s="49"/>
      <c r="C251" s="67" t="s">
        <v>19</v>
      </c>
      <c r="D251" s="68"/>
      <c r="E251" s="68"/>
      <c r="F251" s="68"/>
      <c r="G251" s="69"/>
      <c r="H251" s="68"/>
      <c r="I251" s="67" t="s">
        <v>20</v>
      </c>
      <c r="J251" s="68"/>
      <c r="K251" s="68"/>
      <c r="L251" s="68"/>
      <c r="M251" s="69"/>
      <c r="N251" s="69"/>
    </row>
    <row r="252" spans="2:18" x14ac:dyDescent="0.25">
      <c r="B252" s="53"/>
      <c r="C252" s="9">
        <v>2016</v>
      </c>
      <c r="D252" s="9"/>
      <c r="E252" s="9"/>
      <c r="F252" s="10">
        <v>2019</v>
      </c>
      <c r="G252" s="10"/>
      <c r="H252" s="10"/>
      <c r="I252" s="9">
        <v>2016</v>
      </c>
      <c r="J252" s="9"/>
      <c r="K252" s="9"/>
      <c r="L252" s="10">
        <v>2019</v>
      </c>
      <c r="M252" s="10"/>
      <c r="N252" s="10"/>
    </row>
    <row r="253" spans="2:18" ht="15.75" thickBot="1" x14ac:dyDescent="0.3">
      <c r="B253" s="54"/>
      <c r="C253" s="14" t="s">
        <v>7</v>
      </c>
      <c r="D253" s="15" t="s">
        <v>8</v>
      </c>
      <c r="E253" s="16" t="s">
        <v>9</v>
      </c>
      <c r="F253" s="55" t="s">
        <v>7</v>
      </c>
      <c r="G253" s="55" t="s">
        <v>8</v>
      </c>
      <c r="H253" s="17" t="s">
        <v>9</v>
      </c>
      <c r="I253" s="14" t="s">
        <v>7</v>
      </c>
      <c r="J253" s="15" t="s">
        <v>8</v>
      </c>
      <c r="K253" s="16" t="s">
        <v>9</v>
      </c>
      <c r="L253" s="55" t="s">
        <v>7</v>
      </c>
      <c r="M253" s="55" t="s">
        <v>8</v>
      </c>
      <c r="N253" s="17" t="s">
        <v>9</v>
      </c>
    </row>
    <row r="254" spans="2:18" ht="15.75" thickBot="1" x14ac:dyDescent="0.3">
      <c r="B254" s="18"/>
      <c r="C254" s="56">
        <v>1.6</v>
      </c>
      <c r="D254" s="57">
        <v>3.5</v>
      </c>
      <c r="E254" s="57">
        <v>2.9</v>
      </c>
      <c r="F254" s="56">
        <v>2</v>
      </c>
      <c r="G254" s="57">
        <v>3.9</v>
      </c>
      <c r="H254" s="58">
        <v>3.3</v>
      </c>
      <c r="I254" s="56">
        <f>[1]ARA_eff_age_2016!$G$212/[1]ARA_eff_age_2016!$D$472*1000000</f>
        <v>15.209053010915003</v>
      </c>
      <c r="J254" s="57">
        <f>[1]ARA_eff_age_2016!$F$212/[1]ARA_eff_age_2016!$B$472*1000000</f>
        <v>29.027893157967416</v>
      </c>
      <c r="K254" s="58">
        <f>[1]ARA_eff_age_2016!$H$212/[1]ARA_eff_age_2016!$F$472*1000000</f>
        <v>25.033887452789504</v>
      </c>
      <c r="L254" s="57">
        <f>[2]ARA_eff_age_2019!$G$212/[2]ARA_eff_age_2019!$D$472*1000000</f>
        <v>12.195957362540623</v>
      </c>
      <c r="M254" s="57">
        <f>[2]ARA_eff_age_2019!$F$212/[2]ARA_eff_age_2019!$B$472*1000000</f>
        <v>38.615638654917412</v>
      </c>
      <c r="N254" s="58">
        <f>[2]ARA_eff_age_2019!$H$212/[2]ARA_eff_age_2019!$F$472*1000000</f>
        <v>30.804987142588462</v>
      </c>
    </row>
    <row r="255" spans="2:18" x14ac:dyDescent="0.25">
      <c r="B255" s="26" t="s">
        <v>10</v>
      </c>
      <c r="C255" s="59">
        <v>1.4</v>
      </c>
      <c r="D255" s="60">
        <v>2.8</v>
      </c>
      <c r="E255" s="60">
        <v>2.4</v>
      </c>
      <c r="F255" s="59">
        <v>0.9</v>
      </c>
      <c r="G255" s="60">
        <v>2.4</v>
      </c>
      <c r="H255" s="60">
        <v>2</v>
      </c>
      <c r="I255" s="59">
        <f>[1]ARA_eff_age_2016!$G$205/[1]ARA_eff_age_2016!$D$465*1000000</f>
        <v>4.8332621232713837</v>
      </c>
      <c r="J255" s="60">
        <f>[1]ARA_eff_age_2016!$F$205/[1]ARA_eff_age_2016!$B$465*1000000</f>
        <v>16.569790923758941</v>
      </c>
      <c r="K255" s="60">
        <f>[1]ARA_eff_age_2016!$H$205/[1]ARA_eff_age_2016!$F$465*1000000</f>
        <v>13.481422091624832</v>
      </c>
      <c r="L255" s="59">
        <f>[2]ARA_eff_age_2019!$G$205/[2]ARA_eff_age_2019!$D$465*1000000</f>
        <v>3.8442722966495761</v>
      </c>
      <c r="M255" s="60">
        <f>[2]ARA_eff_age_2019!$F$205/[2]ARA_eff_age_2019!$B$465*1000000</f>
        <v>22.139997121334272</v>
      </c>
      <c r="N255" s="61">
        <f>[2]ARA_eff_age_2019!$H$205/[2]ARA_eff_age_2019!$F$465*1000000</f>
        <v>17.260117557498617</v>
      </c>
    </row>
    <row r="256" spans="2:18" x14ac:dyDescent="0.25">
      <c r="B256" s="26" t="s">
        <v>11</v>
      </c>
      <c r="C256" s="59">
        <v>1.1224078660386998</v>
      </c>
      <c r="D256" s="60">
        <v>2.6648018211091657</v>
      </c>
      <c r="E256" s="61">
        <v>2.2202701941246401</v>
      </c>
      <c r="F256" s="59">
        <v>1.4949029834230787</v>
      </c>
      <c r="G256" s="60">
        <v>2.6112162228451656</v>
      </c>
      <c r="H256" s="60">
        <v>2.2665128088648578</v>
      </c>
      <c r="I256" s="59">
        <f>[1]ARA_eff_age_2016!$G207/[1]ARA_eff_age_2016!$D467*1000000</f>
        <v>7.1575111637903932</v>
      </c>
      <c r="J256" s="60">
        <f>[1]ARA_eff_age_2016!$F207/[1]ARA_eff_age_2016!$B467*1000000</f>
        <v>15.627571039181532</v>
      </c>
      <c r="K256" s="60">
        <f>[1]ARA_eff_age_2016!$H207/[1]ARA_eff_age_2016!$F467*1000000</f>
        <v>13.186424609187936</v>
      </c>
      <c r="L256" s="59">
        <f>[2]ARA_eff_age_2019!$G207/[2]ARA_eff_age_2019!$D467*1000000</f>
        <v>5.6351411949385071</v>
      </c>
      <c r="M256" s="60">
        <f>[2]ARA_eff_age_2019!$F207/[2]ARA_eff_age_2019!$B467*1000000</f>
        <v>12.38399558593794</v>
      </c>
      <c r="N256" s="61">
        <f>[2]ARA_eff_age_2019!$H207/[2]ARA_eff_age_2019!$F467*1000000</f>
        <v>10.300034677718932</v>
      </c>
    </row>
    <row r="257" spans="2:14" x14ac:dyDescent="0.25">
      <c r="B257" s="26" t="s">
        <v>12</v>
      </c>
      <c r="C257" s="59">
        <v>1.8119182446185857</v>
      </c>
      <c r="D257" s="60">
        <v>3.7412417902968635</v>
      </c>
      <c r="E257" s="61">
        <v>3.2058993628207983</v>
      </c>
      <c r="F257" s="59">
        <v>2.2615548787615016</v>
      </c>
      <c r="G257" s="60">
        <v>4.4723906613858828</v>
      </c>
      <c r="H257" s="60">
        <v>3.8426543521991126</v>
      </c>
      <c r="I257" s="59">
        <f>[1]ARA_eff_age_2016!$G208/[1]ARA_eff_age_2016!$D468*1000000</f>
        <v>8.005529799493015</v>
      </c>
      <c r="J257" s="60">
        <f>[1]ARA_eff_age_2016!$F208/[1]ARA_eff_age_2016!$B468*1000000</f>
        <v>30.030055209650932</v>
      </c>
      <c r="K257" s="60">
        <f>[1]ARA_eff_age_2016!$H208/[1]ARA_eff_age_2016!$F468*1000000</f>
        <v>23.918761474863143</v>
      </c>
      <c r="L257" s="59">
        <f>[2]ARA_eff_age_2019!$G208/[2]ARA_eff_age_2019!$D468*1000000</f>
        <v>18.178701473926349</v>
      </c>
      <c r="M257" s="60">
        <f>[2]ARA_eff_age_2019!$F208/[2]ARA_eff_age_2019!$B468*1000000</f>
        <v>36.64246699221934</v>
      </c>
      <c r="N257" s="61">
        <f>[2]ARA_eff_age_2019!$H208/[2]ARA_eff_age_2019!$F468*1000000</f>
        <v>31.383232614124733</v>
      </c>
    </row>
    <row r="258" spans="2:14" x14ac:dyDescent="0.25">
      <c r="B258" s="26" t="s">
        <v>13</v>
      </c>
      <c r="C258" s="59">
        <v>1.956117020352492</v>
      </c>
      <c r="D258" s="60">
        <v>4.0768145501191286</v>
      </c>
      <c r="E258" s="61">
        <v>3.4387442485602304</v>
      </c>
      <c r="F258" s="59">
        <v>2.1431916689048087</v>
      </c>
      <c r="G258" s="60">
        <v>4.8390969430732813</v>
      </c>
      <c r="H258" s="60">
        <v>4.0388757624521112</v>
      </c>
      <c r="I258" s="59">
        <f>[1]ARA_eff_age_2016!$G209/[1]ARA_eff_age_2016!$D469*1000000</f>
        <v>22.932553375021605</v>
      </c>
      <c r="J258" s="60">
        <f>[1]ARA_eff_age_2016!$F209/[1]ARA_eff_age_2016!$B469*1000000</f>
        <v>46.014286902026825</v>
      </c>
      <c r="K258" s="60">
        <f>[1]ARA_eff_age_2016!$H209/[1]ARA_eff_age_2016!$F469*1000000</f>
        <v>39.069511201883003</v>
      </c>
      <c r="L258" s="59">
        <f>[2]ARA_eff_age_2019!$G209/[2]ARA_eff_age_2019!$D469*1000000</f>
        <v>13.810940044962097</v>
      </c>
      <c r="M258" s="60">
        <f>[2]ARA_eff_age_2019!$F209/[2]ARA_eff_age_2019!$B469*1000000</f>
        <v>64.05957653002514</v>
      </c>
      <c r="N258" s="61">
        <f>[2]ARA_eff_age_2019!$H209/[2]ARA_eff_age_2019!$F469*1000000</f>
        <v>49.144355407137951</v>
      </c>
    </row>
    <row r="259" spans="2:14" x14ac:dyDescent="0.25">
      <c r="B259" s="26" t="s">
        <v>14</v>
      </c>
      <c r="C259" s="59">
        <v>2.1651070432095771</v>
      </c>
      <c r="D259" s="60">
        <v>4.510662243711745</v>
      </c>
      <c r="E259" s="61">
        <v>3.785088974679391</v>
      </c>
      <c r="F259" s="59">
        <v>2.6336263022065447</v>
      </c>
      <c r="G259" s="60">
        <v>5.0854766547870316</v>
      </c>
      <c r="H259" s="60">
        <v>4.3549260673482753</v>
      </c>
      <c r="I259" s="59">
        <f>[1]ARA_eff_age_2016!$G210/[1]ARA_eff_age_2016!$D470*1000000</f>
        <v>46.193651899096842</v>
      </c>
      <c r="J259" s="60">
        <f>[1]ARA_eff_age_2016!$F210/[1]ARA_eff_age_2016!$B470*1000000</f>
        <v>38.931311032035893</v>
      </c>
      <c r="K259" s="60">
        <f>[1]ARA_eff_age_2016!$H210/[1]ARA_eff_age_2016!$F470*1000000</f>
        <v>41.177841151051005</v>
      </c>
      <c r="L259" s="59">
        <f>[2]ARA_eff_age_2019!$G210/[2]ARA_eff_age_2019!$D470*1000000</f>
        <v>19.465933538048372</v>
      </c>
      <c r="M259" s="60">
        <f>[2]ARA_eff_age_2019!$F210/[2]ARA_eff_age_2019!$B470*1000000</f>
        <v>70.359380379549705</v>
      </c>
      <c r="N259" s="61">
        <f>[2]ARA_eff_age_2019!$H210/[2]ARA_eff_age_2019!$F470*1000000</f>
        <v>55.195225902582727</v>
      </c>
    </row>
    <row r="260" spans="2:14" ht="15.75" thickBot="1" x14ac:dyDescent="0.3">
      <c r="B260" s="36" t="s">
        <v>15</v>
      </c>
      <c r="C260" s="127" t="s">
        <v>93</v>
      </c>
      <c r="D260" s="64">
        <v>3.4487351164859774</v>
      </c>
      <c r="E260" s="65">
        <v>3.0167343184330671</v>
      </c>
      <c r="F260" s="63">
        <v>3.1876450163857646</v>
      </c>
      <c r="G260" s="64">
        <v>4.6213358670446283</v>
      </c>
      <c r="H260" s="64">
        <v>4.2883395268458973</v>
      </c>
      <c r="I260" s="127" t="s">
        <v>93</v>
      </c>
      <c r="J260" s="64">
        <f>[1]ARA_eff_age_2016!$F211/[1]ARA_eff_age_2016!$B471*1000000</f>
        <v>66.138884409162316</v>
      </c>
      <c r="K260" s="65">
        <f>[1]ARA_eff_age_2016!$H211/[1]ARA_eff_age_2016!$F471*1000000</f>
        <v>50.633338677963529</v>
      </c>
      <c r="L260" s="63">
        <f>[2]ARA_eff_age_2019!$G211/[2]ARA_eff_age_2019!$D471*1000000</f>
        <v>7.4652108112078794</v>
      </c>
      <c r="M260" s="64">
        <f>[2]ARA_eff_age_2019!$F211/[2]ARA_eff_age_2019!$B471*1000000</f>
        <v>69.259812082119765</v>
      </c>
      <c r="N260" s="65">
        <f>[2]ARA_eff_age_2019!$H211/[2]ARA_eff_age_2019!$F471*1000000</f>
        <v>54.907083209087588</v>
      </c>
    </row>
    <row r="261" spans="2:14" x14ac:dyDescent="0.25">
      <c r="B261" s="44" t="s">
        <v>48</v>
      </c>
      <c r="C261" s="45"/>
      <c r="D261" s="45"/>
      <c r="E261" s="45"/>
      <c r="F261" s="45"/>
      <c r="G261" s="46"/>
      <c r="H261" s="46"/>
      <c r="I261" s="46"/>
      <c r="J261" s="46"/>
      <c r="K261" s="46"/>
      <c r="L261" s="60"/>
      <c r="M261" s="60"/>
      <c r="N261" s="60"/>
    </row>
    <row r="262" spans="2:14" ht="15" customHeight="1" x14ac:dyDescent="0.25">
      <c r="B262" s="133" t="s">
        <v>46</v>
      </c>
      <c r="C262" s="133"/>
      <c r="D262" s="133"/>
      <c r="E262" s="133"/>
      <c r="F262" s="133"/>
      <c r="G262" s="133"/>
      <c r="H262" s="89"/>
      <c r="I262" s="89"/>
      <c r="J262" s="89"/>
      <c r="K262" s="89"/>
      <c r="L262" s="60"/>
      <c r="M262" s="60"/>
      <c r="N262" s="60"/>
    </row>
    <row r="263" spans="2:14" x14ac:dyDescent="0.25">
      <c r="B263" s="74" t="s">
        <v>55</v>
      </c>
      <c r="C263" s="48"/>
      <c r="D263" s="48"/>
      <c r="E263" s="48"/>
      <c r="F263" s="48"/>
      <c r="G263" s="48"/>
      <c r="H263" s="48"/>
      <c r="I263" s="48"/>
      <c r="J263" s="48"/>
      <c r="K263" s="48"/>
    </row>
    <row r="264" spans="2:14" x14ac:dyDescent="0.25">
      <c r="B264" s="113" t="s">
        <v>94</v>
      </c>
      <c r="C264" s="48"/>
      <c r="D264" s="48"/>
      <c r="E264" s="48"/>
      <c r="F264" s="48"/>
      <c r="G264" s="48"/>
      <c r="H264" s="48"/>
      <c r="I264" s="48"/>
      <c r="J264" s="48"/>
      <c r="K264" s="48"/>
    </row>
    <row r="265" spans="2:14" ht="15.75" thickBot="1" x14ac:dyDescent="0.3"/>
    <row r="266" spans="2:14" ht="15" customHeight="1" thickTop="1" x14ac:dyDescent="0.25">
      <c r="B266" s="212" t="s">
        <v>79</v>
      </c>
      <c r="C266" s="208"/>
      <c r="D266" s="208"/>
      <c r="E266" s="208"/>
      <c r="F266" s="208"/>
      <c r="G266" s="208"/>
      <c r="H266" s="208"/>
      <c r="I266" s="208"/>
      <c r="J266" s="208"/>
      <c r="K266" s="213"/>
    </row>
    <row r="267" spans="2:14" x14ac:dyDescent="0.25">
      <c r="B267" s="138"/>
      <c r="C267" s="139"/>
      <c r="D267" s="139"/>
      <c r="E267" s="139"/>
      <c r="F267" s="139"/>
      <c r="G267" s="139"/>
      <c r="H267" s="139"/>
      <c r="I267" s="139"/>
      <c r="J267" s="139"/>
      <c r="K267" s="214"/>
    </row>
    <row r="268" spans="2:14" x14ac:dyDescent="0.25">
      <c r="B268" s="138"/>
      <c r="C268" s="139"/>
      <c r="D268" s="139"/>
      <c r="E268" s="139"/>
      <c r="F268" s="139"/>
      <c r="G268" s="139"/>
      <c r="H268" s="139"/>
      <c r="I268" s="139"/>
      <c r="J268" s="139"/>
      <c r="K268" s="214"/>
    </row>
    <row r="269" spans="2:14" x14ac:dyDescent="0.25">
      <c r="B269" s="138"/>
      <c r="C269" s="139"/>
      <c r="D269" s="139"/>
      <c r="E269" s="139"/>
      <c r="F269" s="139"/>
      <c r="G269" s="139"/>
      <c r="H269" s="139"/>
      <c r="I269" s="139"/>
      <c r="J269" s="139"/>
      <c r="K269" s="214"/>
    </row>
    <row r="270" spans="2:14" x14ac:dyDescent="0.25">
      <c r="B270" s="138"/>
      <c r="C270" s="139"/>
      <c r="D270" s="139"/>
      <c r="E270" s="139"/>
      <c r="F270" s="139"/>
      <c r="G270" s="139"/>
      <c r="H270" s="139"/>
      <c r="I270" s="139"/>
      <c r="J270" s="139"/>
      <c r="K270" s="214"/>
    </row>
    <row r="271" spans="2:14" x14ac:dyDescent="0.25">
      <c r="B271" s="138"/>
      <c r="C271" s="139"/>
      <c r="D271" s="139"/>
      <c r="E271" s="139"/>
      <c r="F271" s="139"/>
      <c r="G271" s="139"/>
      <c r="H271" s="139"/>
      <c r="I271" s="139"/>
      <c r="J271" s="139"/>
      <c r="K271" s="214"/>
    </row>
    <row r="272" spans="2:14" x14ac:dyDescent="0.25">
      <c r="B272" s="138"/>
      <c r="C272" s="139"/>
      <c r="D272" s="139"/>
      <c r="E272" s="139"/>
      <c r="F272" s="139"/>
      <c r="G272" s="139"/>
      <c r="H272" s="139"/>
      <c r="I272" s="139"/>
      <c r="J272" s="139"/>
      <c r="K272" s="214"/>
    </row>
    <row r="273" spans="2:14" x14ac:dyDescent="0.25">
      <c r="B273" s="138"/>
      <c r="C273" s="139"/>
      <c r="D273" s="139"/>
      <c r="E273" s="139"/>
      <c r="F273" s="139"/>
      <c r="G273" s="139"/>
      <c r="H273" s="139"/>
      <c r="I273" s="139"/>
      <c r="J273" s="139"/>
      <c r="K273" s="214"/>
    </row>
    <row r="274" spans="2:14" x14ac:dyDescent="0.25">
      <c r="B274" s="138"/>
      <c r="C274" s="139"/>
      <c r="D274" s="139"/>
      <c r="E274" s="139"/>
      <c r="F274" s="139"/>
      <c r="G274" s="139"/>
      <c r="H274" s="139"/>
      <c r="I274" s="139"/>
      <c r="J274" s="139"/>
      <c r="K274" s="214"/>
    </row>
    <row r="275" spans="2:14" x14ac:dyDescent="0.25">
      <c r="B275" s="138"/>
      <c r="C275" s="139"/>
      <c r="D275" s="139"/>
      <c r="E275" s="139"/>
      <c r="F275" s="139"/>
      <c r="G275" s="139"/>
      <c r="H275" s="139"/>
      <c r="I275" s="139"/>
      <c r="J275" s="139"/>
      <c r="K275" s="214"/>
    </row>
    <row r="276" spans="2:14" x14ac:dyDescent="0.25">
      <c r="B276" s="138"/>
      <c r="C276" s="139"/>
      <c r="D276" s="139"/>
      <c r="E276" s="139"/>
      <c r="F276" s="139"/>
      <c r="G276" s="139"/>
      <c r="H276" s="139"/>
      <c r="I276" s="139"/>
      <c r="J276" s="139"/>
      <c r="K276" s="214"/>
    </row>
    <row r="277" spans="2:14" x14ac:dyDescent="0.25">
      <c r="B277" s="138"/>
      <c r="C277" s="139"/>
      <c r="D277" s="139"/>
      <c r="E277" s="139"/>
      <c r="F277" s="139"/>
      <c r="G277" s="139"/>
      <c r="H277" s="139"/>
      <c r="I277" s="139"/>
      <c r="J277" s="139"/>
      <c r="K277" s="214"/>
    </row>
    <row r="278" spans="2:14" x14ac:dyDescent="0.25">
      <c r="B278" s="138"/>
      <c r="C278" s="139"/>
      <c r="D278" s="139"/>
      <c r="E278" s="139"/>
      <c r="F278" s="139"/>
      <c r="G278" s="139"/>
      <c r="H278" s="139"/>
      <c r="I278" s="139"/>
      <c r="J278" s="139"/>
      <c r="K278" s="214"/>
    </row>
    <row r="279" spans="2:14" x14ac:dyDescent="0.25">
      <c r="B279" s="138"/>
      <c r="C279" s="139"/>
      <c r="D279" s="139"/>
      <c r="E279" s="139"/>
      <c r="F279" s="139"/>
      <c r="G279" s="139"/>
      <c r="H279" s="139"/>
      <c r="I279" s="139"/>
      <c r="J279" s="139"/>
      <c r="K279" s="214"/>
    </row>
    <row r="280" spans="2:14" x14ac:dyDescent="0.25">
      <c r="B280" s="138"/>
      <c r="C280" s="139"/>
      <c r="D280" s="139"/>
      <c r="E280" s="139"/>
      <c r="F280" s="139"/>
      <c r="G280" s="139"/>
      <c r="H280" s="139"/>
      <c r="I280" s="139"/>
      <c r="J280" s="139"/>
      <c r="K280" s="214"/>
    </row>
    <row r="281" spans="2:14" x14ac:dyDescent="0.25">
      <c r="B281" s="138"/>
      <c r="C281" s="139"/>
      <c r="D281" s="139"/>
      <c r="E281" s="139"/>
      <c r="F281" s="139"/>
      <c r="G281" s="139"/>
      <c r="H281" s="139"/>
      <c r="I281" s="139"/>
      <c r="J281" s="139"/>
      <c r="K281" s="214"/>
    </row>
    <row r="282" spans="2:14" x14ac:dyDescent="0.25">
      <c r="B282" s="138"/>
      <c r="C282" s="139"/>
      <c r="D282" s="139"/>
      <c r="E282" s="139"/>
      <c r="F282" s="139"/>
      <c r="G282" s="139"/>
      <c r="H282" s="139"/>
      <c r="I282" s="139"/>
      <c r="J282" s="139"/>
      <c r="K282" s="214"/>
    </row>
    <row r="283" spans="2:14" x14ac:dyDescent="0.25">
      <c r="B283" s="138"/>
      <c r="C283" s="139"/>
      <c r="D283" s="139"/>
      <c r="E283" s="139"/>
      <c r="F283" s="139"/>
      <c r="G283" s="139"/>
      <c r="H283" s="139"/>
      <c r="I283" s="139"/>
      <c r="J283" s="139"/>
      <c r="K283" s="214"/>
    </row>
    <row r="284" spans="2:14" x14ac:dyDescent="0.25">
      <c r="B284" s="138"/>
      <c r="C284" s="139"/>
      <c r="D284" s="139"/>
      <c r="E284" s="139"/>
      <c r="F284" s="139"/>
      <c r="G284" s="139"/>
      <c r="H284" s="139"/>
      <c r="I284" s="139"/>
      <c r="J284" s="139"/>
      <c r="K284" s="214"/>
      <c r="L284" s="75"/>
      <c r="M284" s="75"/>
      <c r="N284" s="75"/>
    </row>
    <row r="285" spans="2:14" x14ac:dyDescent="0.25">
      <c r="B285" s="138"/>
      <c r="C285" s="139"/>
      <c r="D285" s="139"/>
      <c r="E285" s="139"/>
      <c r="F285" s="139"/>
      <c r="G285" s="139"/>
      <c r="H285" s="139"/>
      <c r="I285" s="139"/>
      <c r="J285" s="139"/>
      <c r="K285" s="214"/>
      <c r="L285" s="75"/>
      <c r="M285" s="75"/>
      <c r="N285" s="75"/>
    </row>
    <row r="286" spans="2:14" ht="15.75" thickBot="1" x14ac:dyDescent="0.3">
      <c r="B286" s="215"/>
      <c r="C286" s="216"/>
      <c r="D286" s="216"/>
      <c r="E286" s="216"/>
      <c r="F286" s="216"/>
      <c r="G286" s="216"/>
      <c r="H286" s="216"/>
      <c r="I286" s="216"/>
      <c r="J286" s="216"/>
      <c r="K286" s="217"/>
    </row>
    <row r="287" spans="2:14" ht="9.75" customHeight="1" thickTop="1" x14ac:dyDescent="0.25">
      <c r="B287" s="2"/>
    </row>
    <row r="288" spans="2:14" ht="9.75" customHeight="1" x14ac:dyDescent="0.25">
      <c r="B288" s="2"/>
    </row>
    <row r="289" spans="2:22" x14ac:dyDescent="0.25">
      <c r="B289" s="3" t="s">
        <v>31</v>
      </c>
      <c r="C289" s="4"/>
      <c r="D289" s="4"/>
      <c r="E289" s="4"/>
      <c r="F289" s="4"/>
    </row>
    <row r="290" spans="2:22" ht="15.75" customHeight="1" x14ac:dyDescent="0.25">
      <c r="B290" s="2"/>
    </row>
    <row r="291" spans="2:22" ht="20.100000000000001" customHeight="1" thickBot="1" x14ac:dyDescent="0.3">
      <c r="B291" s="134" t="s">
        <v>32</v>
      </c>
      <c r="C291" s="134"/>
      <c r="D291" s="134"/>
      <c r="E291" s="134"/>
      <c r="F291" s="134"/>
      <c r="G291" s="134"/>
      <c r="H291" s="134"/>
      <c r="I291" s="134"/>
      <c r="J291" s="134"/>
      <c r="K291" s="134"/>
      <c r="L291" s="134"/>
      <c r="M291" s="134"/>
      <c r="N291" s="134"/>
    </row>
    <row r="292" spans="2:22" ht="15.75" customHeight="1" thickBot="1" x14ac:dyDescent="0.3">
      <c r="C292" s="144" t="s">
        <v>39</v>
      </c>
      <c r="D292" s="145"/>
      <c r="E292" s="145"/>
      <c r="F292" s="146"/>
      <c r="G292" s="5" t="s">
        <v>4</v>
      </c>
      <c r="H292" s="6"/>
      <c r="I292" s="6"/>
      <c r="J292" s="6"/>
      <c r="K292" s="6"/>
      <c r="L292" s="7"/>
      <c r="M292" s="7"/>
      <c r="N292" s="8"/>
    </row>
    <row r="293" spans="2:22" ht="15" customHeight="1" x14ac:dyDescent="0.25">
      <c r="B293" s="147"/>
      <c r="C293" s="149" t="s">
        <v>5</v>
      </c>
      <c r="D293" s="150"/>
      <c r="E293" s="150" t="s">
        <v>6</v>
      </c>
      <c r="F293" s="151"/>
      <c r="G293" s="9">
        <v>2016</v>
      </c>
      <c r="H293" s="9"/>
      <c r="I293" s="9"/>
      <c r="J293" s="10">
        <v>2019</v>
      </c>
      <c r="K293" s="10"/>
      <c r="L293" s="10"/>
      <c r="M293" s="10"/>
      <c r="N293" s="10"/>
    </row>
    <row r="294" spans="2:22" ht="15.75" thickBot="1" x14ac:dyDescent="0.3">
      <c r="B294" s="148"/>
      <c r="C294" s="11" t="s">
        <v>7</v>
      </c>
      <c r="D294" s="12" t="s">
        <v>8</v>
      </c>
      <c r="E294" s="12" t="s">
        <v>7</v>
      </c>
      <c r="F294" s="13" t="s">
        <v>8</v>
      </c>
      <c r="G294" s="14" t="s">
        <v>7</v>
      </c>
      <c r="H294" s="15" t="s">
        <v>8</v>
      </c>
      <c r="I294" s="16" t="s">
        <v>9</v>
      </c>
      <c r="J294" s="90" t="s">
        <v>7</v>
      </c>
      <c r="K294" s="91"/>
      <c r="L294" s="92" t="s">
        <v>8</v>
      </c>
      <c r="M294" s="92"/>
      <c r="N294" s="17" t="s">
        <v>9</v>
      </c>
    </row>
    <row r="295" spans="2:22" ht="15.75" thickBot="1" x14ac:dyDescent="0.3">
      <c r="B295" s="18"/>
      <c r="C295" s="19">
        <v>0.22</v>
      </c>
      <c r="D295" s="20">
        <v>0.78</v>
      </c>
      <c r="E295" s="19">
        <v>1</v>
      </c>
      <c r="F295" s="20">
        <v>1</v>
      </c>
      <c r="G295" s="21">
        <f>[1]ARA_eff_age_2016!$C$112</f>
        <v>58</v>
      </c>
      <c r="H295" s="22">
        <f>[1]ARA_eff_age_2016!$B$112</f>
        <v>643</v>
      </c>
      <c r="I295" s="23">
        <f t="shared" ref="I295:I298" si="14">G295+H295</f>
        <v>701</v>
      </c>
      <c r="J295" s="21">
        <f>SUM(J296:J299)</f>
        <v>71</v>
      </c>
      <c r="K295" s="24">
        <v>1</v>
      </c>
      <c r="L295" s="25">
        <f>SUM(L296:L299)</f>
        <v>716</v>
      </c>
      <c r="M295" s="24">
        <v>1</v>
      </c>
      <c r="N295" s="23">
        <f t="shared" ref="N295:N298" si="15">J295+L295</f>
        <v>787</v>
      </c>
    </row>
    <row r="296" spans="2:22" x14ac:dyDescent="0.25">
      <c r="B296" s="128" t="s">
        <v>96</v>
      </c>
      <c r="C296" s="99">
        <v>0.23</v>
      </c>
      <c r="D296" s="100">
        <v>0.77</v>
      </c>
      <c r="E296" s="104">
        <v>0.17</v>
      </c>
      <c r="F296" s="105">
        <v>0.16</v>
      </c>
      <c r="G296" s="31">
        <v>14</v>
      </c>
      <c r="H296" s="32">
        <v>149</v>
      </c>
      <c r="I296" s="33">
        <v>163</v>
      </c>
      <c r="J296" s="31">
        <v>12</v>
      </c>
      <c r="K296" s="71">
        <f>J296/J295</f>
        <v>0.16901408450704225</v>
      </c>
      <c r="L296" s="32">
        <v>171</v>
      </c>
      <c r="M296" s="77">
        <f>L296/L295</f>
        <v>0.23882681564245811</v>
      </c>
      <c r="N296" s="33">
        <v>183</v>
      </c>
    </row>
    <row r="297" spans="2:22" x14ac:dyDescent="0.25">
      <c r="B297" s="26" t="s">
        <v>12</v>
      </c>
      <c r="C297" s="99">
        <v>0.24</v>
      </c>
      <c r="D297" s="100">
        <v>0.76</v>
      </c>
      <c r="E297" s="104">
        <v>0.27451820128479659</v>
      </c>
      <c r="F297" s="105">
        <v>0.247969480679301</v>
      </c>
      <c r="G297" s="31">
        <f>[1]ARA_eff_age_2016!$C108</f>
        <v>17</v>
      </c>
      <c r="H297" s="32">
        <f>[1]ARA_eff_age_2016!$B108</f>
        <v>159</v>
      </c>
      <c r="I297" s="33">
        <f t="shared" si="14"/>
        <v>176</v>
      </c>
      <c r="J297" s="31">
        <v>22</v>
      </c>
      <c r="K297" s="71">
        <f t="shared" ref="K297:K298" si="16">J297/$J$295</f>
        <v>0.30985915492957744</v>
      </c>
      <c r="L297" s="32">
        <v>200</v>
      </c>
      <c r="M297" s="77">
        <f t="shared" ref="M297:M298" si="17">L297/$L$295</f>
        <v>0.27932960893854747</v>
      </c>
      <c r="N297" s="33">
        <f t="shared" si="15"/>
        <v>222</v>
      </c>
    </row>
    <row r="298" spans="2:22" x14ac:dyDescent="0.25">
      <c r="B298" s="26" t="s">
        <v>13</v>
      </c>
      <c r="C298" s="99">
        <v>0.24</v>
      </c>
      <c r="D298" s="100">
        <v>0.76</v>
      </c>
      <c r="E298" s="104">
        <v>0.30749464668094217</v>
      </c>
      <c r="F298" s="105">
        <v>0.27971941914841253</v>
      </c>
      <c r="G298" s="31">
        <f>[1]ARA_eff_age_2016!$C109</f>
        <v>12</v>
      </c>
      <c r="H298" s="32">
        <f>[1]ARA_eff_age_2016!$B109</f>
        <v>188</v>
      </c>
      <c r="I298" s="33">
        <f t="shared" si="14"/>
        <v>200</v>
      </c>
      <c r="J298" s="31">
        <v>18</v>
      </c>
      <c r="K298" s="71">
        <f t="shared" si="16"/>
        <v>0.25352112676056338</v>
      </c>
      <c r="L298" s="32">
        <v>180</v>
      </c>
      <c r="M298" s="77">
        <f t="shared" si="17"/>
        <v>0.25139664804469275</v>
      </c>
      <c r="N298" s="33">
        <f t="shared" si="15"/>
        <v>198</v>
      </c>
      <c r="T298" s="116"/>
      <c r="U298" s="116"/>
      <c r="V298" s="116"/>
    </row>
    <row r="299" spans="2:22" ht="15.75" thickBot="1" x14ac:dyDescent="0.3">
      <c r="B299" s="122" t="s">
        <v>95</v>
      </c>
      <c r="C299" s="102">
        <v>0.19</v>
      </c>
      <c r="D299" s="103">
        <v>0.81</v>
      </c>
      <c r="E299" s="124">
        <v>0.25</v>
      </c>
      <c r="F299" s="125">
        <v>0.32</v>
      </c>
      <c r="G299" s="93">
        <v>15</v>
      </c>
      <c r="H299" s="94">
        <v>147</v>
      </c>
      <c r="I299" s="82">
        <v>162</v>
      </c>
      <c r="J299" s="93">
        <v>19</v>
      </c>
      <c r="K299" s="72">
        <f>J299/J295</f>
        <v>0.26760563380281688</v>
      </c>
      <c r="L299" s="94">
        <v>165</v>
      </c>
      <c r="M299" s="78">
        <f>L299/L295</f>
        <v>0.23044692737430167</v>
      </c>
      <c r="N299" s="82">
        <v>184</v>
      </c>
      <c r="T299" s="116"/>
      <c r="U299" s="116"/>
      <c r="V299" s="116"/>
    </row>
    <row r="300" spans="2:22" x14ac:dyDescent="0.25">
      <c r="B300" s="44" t="s">
        <v>87</v>
      </c>
      <c r="C300" s="101"/>
      <c r="D300" s="101"/>
      <c r="E300" s="101"/>
      <c r="F300" s="101"/>
      <c r="G300" s="46"/>
      <c r="H300" s="46"/>
      <c r="I300" s="46"/>
      <c r="J300" s="46"/>
      <c r="K300" s="46"/>
      <c r="L300" s="107"/>
      <c r="M300" s="107"/>
      <c r="N300" s="107"/>
    </row>
    <row r="301" spans="2:22" ht="14.45" customHeight="1" x14ac:dyDescent="0.25">
      <c r="B301" s="133" t="s">
        <v>88</v>
      </c>
      <c r="C301" s="133"/>
      <c r="D301" s="133"/>
      <c r="E301" s="133"/>
      <c r="F301" s="133"/>
      <c r="G301" s="133"/>
      <c r="H301" s="133"/>
      <c r="I301" s="133"/>
      <c r="J301" s="133"/>
      <c r="K301" s="120"/>
      <c r="L301" s="107"/>
      <c r="M301" s="107"/>
      <c r="N301" s="107"/>
    </row>
    <row r="302" spans="2:22" x14ac:dyDescent="0.25">
      <c r="B302" s="112" t="s">
        <v>56</v>
      </c>
      <c r="C302" s="48"/>
      <c r="D302" s="48"/>
      <c r="E302" s="48"/>
      <c r="F302" s="48"/>
      <c r="G302" s="48"/>
      <c r="H302" s="48"/>
      <c r="I302" s="48"/>
      <c r="J302" s="48"/>
      <c r="K302" s="48"/>
      <c r="T302" s="116"/>
      <c r="U302" s="101"/>
      <c r="V302" s="101"/>
    </row>
    <row r="303" spans="2:22" x14ac:dyDescent="0.25">
      <c r="B303" s="66" t="s">
        <v>22</v>
      </c>
      <c r="T303" s="116"/>
      <c r="U303" s="101"/>
      <c r="V303" s="101"/>
    </row>
    <row r="304" spans="2:22" x14ac:dyDescent="0.25">
      <c r="B304" s="66"/>
      <c r="T304" s="116"/>
      <c r="U304" s="101"/>
      <c r="V304" s="101"/>
    </row>
    <row r="305" spans="2:22" ht="20.100000000000001" customHeight="1" thickBot="1" x14ac:dyDescent="0.3">
      <c r="B305" s="132" t="s">
        <v>32</v>
      </c>
      <c r="C305" s="132"/>
      <c r="D305" s="132"/>
      <c r="E305" s="132"/>
      <c r="F305" s="132"/>
      <c r="G305" s="132"/>
      <c r="H305" s="132"/>
      <c r="I305" s="132"/>
      <c r="J305" s="132"/>
      <c r="K305" s="132"/>
      <c r="L305" s="132"/>
      <c r="M305" s="132"/>
      <c r="N305" s="132"/>
      <c r="T305" s="116"/>
      <c r="U305" s="101"/>
      <c r="V305" s="101"/>
    </row>
    <row r="306" spans="2:22" ht="29.25" customHeight="1" x14ac:dyDescent="0.25">
      <c r="B306" s="49"/>
      <c r="C306" s="50" t="s">
        <v>17</v>
      </c>
      <c r="D306" s="51"/>
      <c r="E306" s="51"/>
      <c r="F306" s="51"/>
      <c r="G306" s="52"/>
      <c r="H306" s="51"/>
      <c r="I306" s="50" t="s">
        <v>18</v>
      </c>
      <c r="J306" s="51"/>
      <c r="K306" s="51"/>
      <c r="L306" s="51"/>
      <c r="M306" s="52"/>
      <c r="N306" s="52"/>
      <c r="T306" s="116"/>
      <c r="U306" s="116"/>
      <c r="V306" s="116"/>
    </row>
    <row r="307" spans="2:22" x14ac:dyDescent="0.25">
      <c r="B307" s="53"/>
      <c r="C307" s="9">
        <v>2016</v>
      </c>
      <c r="D307" s="9"/>
      <c r="E307" s="9"/>
      <c r="F307" s="10">
        <v>2019</v>
      </c>
      <c r="G307" s="10"/>
      <c r="H307" s="10"/>
      <c r="I307" s="9">
        <v>2016</v>
      </c>
      <c r="J307" s="9"/>
      <c r="K307" s="9"/>
      <c r="L307" s="10">
        <v>2019</v>
      </c>
      <c r="M307" s="10"/>
      <c r="N307" s="10"/>
    </row>
    <row r="308" spans="2:22" ht="15.75" thickBot="1" x14ac:dyDescent="0.3">
      <c r="B308" s="54"/>
      <c r="C308" s="14" t="s">
        <v>7</v>
      </c>
      <c r="D308" s="15" t="s">
        <v>8</v>
      </c>
      <c r="E308" s="16" t="s">
        <v>9</v>
      </c>
      <c r="F308" s="55" t="s">
        <v>7</v>
      </c>
      <c r="G308" s="55" t="s">
        <v>8</v>
      </c>
      <c r="H308" s="17" t="s">
        <v>9</v>
      </c>
      <c r="I308" s="14" t="s">
        <v>7</v>
      </c>
      <c r="J308" s="15" t="s">
        <v>8</v>
      </c>
      <c r="K308" s="16" t="s">
        <v>9</v>
      </c>
      <c r="L308" s="55" t="s">
        <v>7</v>
      </c>
      <c r="M308" s="55" t="s">
        <v>8</v>
      </c>
      <c r="N308" s="17" t="s">
        <v>9</v>
      </c>
    </row>
    <row r="309" spans="2:22" ht="15.75" thickBot="1" x14ac:dyDescent="0.3">
      <c r="B309" s="18"/>
      <c r="C309" s="114">
        <v>26.1</v>
      </c>
      <c r="D309" s="115">
        <v>77.900000000000006</v>
      </c>
      <c r="E309" s="115">
        <v>66.900000000000006</v>
      </c>
      <c r="F309" s="56">
        <f>J295/([3]NA88_AGE_SEXE!$D$837+[3]NA88_AGE_SEXE!$D$839+[3]NA88_AGE_SEXE!$D$841+[3]NA88_AGE_SEXE!$D$843+[3]NA88_AGE_SEXE!$D$845+[3]NA88_AGE_SEXE!$D$847+[3]NA88_AGE_SEXE!$D$849+[3]NA88_AGE_SEXE!$D$851+[3]NA88_AGE_SEXE!$D$853+[3]NA88_AGE_SEXE!$D$855+[3]NA88_AGE_SEXE!$D$857)*1000</f>
        <v>30.406852248394006</v>
      </c>
      <c r="G309" s="57">
        <f>L295/([3]NA88_AGE_SEXE!$D$836+[3]NA88_AGE_SEXE!$D$838+[3]NA88_AGE_SEXE!$D$840+[3]NA88_AGE_SEXE!$D$842+[3]NA88_AGE_SEXE!$D$844+[3]NA88_AGE_SEXE!$D$846+[3]NA88_AGE_SEXE!$D$848+[3]NA88_AGE_SEXE!$D$850+[3]NA88_AGE_SEXE!$D$852+[3]NA88_AGE_SEXE!$D$854+[3]NA88_AGE_SEXE!$D$856)*1000</f>
        <v>88.166481960349714</v>
      </c>
      <c r="H309" s="58">
        <f>N295/([3]NA88_AGE_SEXE!$D$836+[3]NA88_AGE_SEXE!$D$837+[3]NA88_AGE_SEXE!$D$838+[3]NA88_AGE_SEXE!$D$839+[3]NA88_AGE_SEXE!$D$840+[3]NA88_AGE_SEXE!$D$841+[3]NA88_AGE_SEXE!$D$842+[3]NA88_AGE_SEXE!$D$843+[3]NA88_AGE_SEXE!$D$844+[3]NA88_AGE_SEXE!$D$845+[3]NA88_AGE_SEXE!$D$846+[3]NA88_AGE_SEXE!$D$847+[3]NA88_AGE_SEXE!$D$848+[3]NA88_AGE_SEXE!$D$849+[3]NA88_AGE_SEXE!$D$850+[3]NA88_AGE_SEXE!$D$851+[3]NA88_AGE_SEXE!$D$852+[3]NA88_AGE_SEXE!$D$853+[3]NA88_AGE_SEXE!$D$854+[3]NA88_AGE_SEXE!$D$855+[3]NA88_AGE_SEXE!$D$856+[3]NA88_AGE_SEXE!$D$857)*1000</f>
        <v>75.267788829380265</v>
      </c>
      <c r="I309" s="56">
        <f>G295/[1]ARA_eff_age_2016!$D$372*1000000</f>
        <v>16.150280026363941</v>
      </c>
      <c r="J309" s="57">
        <f>H295/[1]ARA_eff_age_2016!$B$372*1000000</f>
        <v>41.825104455433888</v>
      </c>
      <c r="K309" s="58">
        <f>I295/[1]ARA_eff_age_2016!$F$372*1000000</f>
        <v>36.963194623980172</v>
      </c>
      <c r="L309" s="57">
        <v>17.081218346367255</v>
      </c>
      <c r="M309" s="57">
        <v>42.7</v>
      </c>
      <c r="N309" s="58">
        <v>37.9</v>
      </c>
      <c r="P309" s="62"/>
      <c r="Q309" s="62"/>
      <c r="R309" s="62"/>
    </row>
    <row r="310" spans="2:22" x14ac:dyDescent="0.25">
      <c r="B310" s="128" t="s">
        <v>96</v>
      </c>
      <c r="C310" s="106">
        <v>42.6</v>
      </c>
      <c r="D310" s="107">
        <v>115.5</v>
      </c>
      <c r="E310" s="107">
        <v>100.7</v>
      </c>
      <c r="F310" s="106">
        <v>33</v>
      </c>
      <c r="G310" s="107">
        <v>109.91</v>
      </c>
      <c r="H310" s="108">
        <v>94.5</v>
      </c>
      <c r="I310" s="106">
        <v>23.7</v>
      </c>
      <c r="J310" s="107">
        <v>63</v>
      </c>
      <c r="K310" s="108">
        <v>55.2</v>
      </c>
      <c r="L310" s="107">
        <v>18.67027210365735</v>
      </c>
      <c r="M310" s="107">
        <v>61.5</v>
      </c>
      <c r="N310" s="108">
        <v>53</v>
      </c>
      <c r="P310" s="62"/>
      <c r="Q310" s="62"/>
      <c r="R310" s="62"/>
    </row>
    <row r="311" spans="2:22" x14ac:dyDescent="0.25">
      <c r="B311" s="26" t="s">
        <v>12</v>
      </c>
      <c r="C311" s="106">
        <v>30.5</v>
      </c>
      <c r="D311" s="107">
        <v>78.599999999999994</v>
      </c>
      <c r="E311" s="108">
        <v>67.599999999999994</v>
      </c>
      <c r="F311" s="59">
        <f>J297/([3]NA88_AGE_SEXE!$D$843+[3]NA88_AGE_SEXE!$D$845)*1000</f>
        <v>34.321372854914195</v>
      </c>
      <c r="G311" s="60">
        <f>L297/([3]NA88_AGE_SEXE!$D$842+[3]NA88_AGE_SEXE!$D$844)*1000</f>
        <v>99.255583126550874</v>
      </c>
      <c r="H311" s="61">
        <f>N297/([3]NA88_AGE_SEXE!$D$842+[3]NA88_AGE_SEXE!$D$843+[3]NA88_AGE_SEXE!$D$844+[3]NA88_AGE_SEXE!$D$845)*1000</f>
        <v>83.584337349397586</v>
      </c>
      <c r="I311" s="59">
        <f>G297/[1]ARA_eff_age_2016!$D368*1000000</f>
        <v>16.951096087786734</v>
      </c>
      <c r="J311" s="60">
        <f>H297/[1]ARA_eff_age_2016!$B368*1000000</f>
        <v>43.670449058558496</v>
      </c>
      <c r="K311" s="61">
        <f>I297/[1]ARA_eff_age_2016!$F368*1000000</f>
        <v>37.900069146092065</v>
      </c>
      <c r="L311" s="59">
        <v>18.606226201473799</v>
      </c>
      <c r="M311" s="60">
        <v>50.2</v>
      </c>
      <c r="N311" s="61">
        <v>43.6</v>
      </c>
      <c r="P311" s="62"/>
      <c r="Q311" s="62"/>
      <c r="R311" s="62"/>
    </row>
    <row r="312" spans="2:22" x14ac:dyDescent="0.25">
      <c r="B312" s="26" t="s">
        <v>13</v>
      </c>
      <c r="C312" s="106">
        <v>15.8</v>
      </c>
      <c r="D312" s="107">
        <v>75.400000000000006</v>
      </c>
      <c r="E312" s="108">
        <v>63</v>
      </c>
      <c r="F312" s="59">
        <f>J298/([3]NA88_AGE_SEXE!$D$847+[3]NA88_AGE_SEXE!$D$849)*1000</f>
        <v>25.069637883008355</v>
      </c>
      <c r="G312" s="60">
        <f>L298/([3]NA88_AGE_SEXE!$D$846+[3]NA88_AGE_SEXE!$D$848)*1000</f>
        <v>79.190497140343155</v>
      </c>
      <c r="H312" s="61">
        <f>N298/([3]NA88_AGE_SEXE!$D$846+[3]NA88_AGE_SEXE!$D$847+[3]NA88_AGE_SEXE!$D$848+[3]NA88_AGE_SEXE!$D$849)*1000</f>
        <v>66.198595787362095</v>
      </c>
      <c r="I312" s="59">
        <f>G298/[1]ARA_eff_age_2016!$D369*1000000</f>
        <v>11.383514394453952</v>
      </c>
      <c r="J312" s="60">
        <f>H298/[1]ARA_eff_age_2016!$B369*1000000</f>
        <v>39.23586074191256</v>
      </c>
      <c r="K312" s="61">
        <f>I298/[1]ARA_eff_age_2016!$F369*1000000</f>
        <v>34.213235013619432</v>
      </c>
      <c r="L312" s="59">
        <v>15.619765751414342</v>
      </c>
      <c r="M312" s="60">
        <v>38.5</v>
      </c>
      <c r="N312" s="61">
        <v>34</v>
      </c>
      <c r="P312" s="62"/>
      <c r="Q312" s="62"/>
      <c r="R312" s="62"/>
    </row>
    <row r="313" spans="2:22" ht="15.75" thickBot="1" x14ac:dyDescent="0.3">
      <c r="B313" s="123" t="s">
        <v>95</v>
      </c>
      <c r="C313" s="109">
        <v>27.7</v>
      </c>
      <c r="D313" s="110">
        <v>54.9</v>
      </c>
      <c r="E313" s="111">
        <v>50.3</v>
      </c>
      <c r="F313" s="109">
        <v>29.6</v>
      </c>
      <c r="G313" s="110">
        <v>54.3</v>
      </c>
      <c r="H313" s="111">
        <v>50.3</v>
      </c>
      <c r="I313" s="109">
        <v>15.9</v>
      </c>
      <c r="J313" s="110">
        <v>32.1</v>
      </c>
      <c r="K313" s="111">
        <v>29.3</v>
      </c>
      <c r="L313" s="109">
        <v>17.081218346367255</v>
      </c>
      <c r="M313" s="110">
        <v>31.7</v>
      </c>
      <c r="N313" s="111">
        <v>29.3</v>
      </c>
      <c r="P313" s="62"/>
      <c r="Q313" s="62"/>
      <c r="R313" s="62"/>
    </row>
    <row r="314" spans="2:22" x14ac:dyDescent="0.25">
      <c r="B314" s="44" t="s">
        <v>87</v>
      </c>
      <c r="C314" s="101"/>
      <c r="D314" s="101"/>
      <c r="E314" s="101"/>
      <c r="F314" s="101"/>
      <c r="G314" s="46"/>
      <c r="H314" s="46"/>
      <c r="I314" s="46"/>
      <c r="J314" s="46"/>
      <c r="K314" s="46"/>
      <c r="L314" s="107"/>
      <c r="M314" s="107"/>
      <c r="N314" s="107"/>
    </row>
    <row r="315" spans="2:22" ht="14.45" customHeight="1" x14ac:dyDescent="0.25">
      <c r="B315" s="133" t="s">
        <v>88</v>
      </c>
      <c r="C315" s="133"/>
      <c r="D315" s="133"/>
      <c r="E315" s="133"/>
      <c r="F315" s="133"/>
      <c r="G315" s="133"/>
      <c r="H315" s="133"/>
      <c r="I315" s="133"/>
      <c r="J315" s="133"/>
      <c r="K315" s="120"/>
      <c r="L315" s="107"/>
      <c r="M315" s="107"/>
      <c r="N315" s="107"/>
    </row>
    <row r="316" spans="2:22" x14ac:dyDescent="0.25">
      <c r="B316" s="113" t="s">
        <v>57</v>
      </c>
      <c r="C316" s="48"/>
      <c r="D316" s="48"/>
      <c r="E316" s="48"/>
      <c r="F316" s="48"/>
      <c r="G316" s="48"/>
      <c r="H316" s="48"/>
      <c r="I316" s="48"/>
      <c r="J316" s="48"/>
      <c r="K316" s="48"/>
    </row>
    <row r="317" spans="2:22" x14ac:dyDescent="0.25">
      <c r="B317" s="66"/>
    </row>
    <row r="318" spans="2:22" ht="20.100000000000001" customHeight="1" thickBot="1" x14ac:dyDescent="0.3">
      <c r="B318" s="132" t="s">
        <v>32</v>
      </c>
      <c r="C318" s="132"/>
      <c r="D318" s="132"/>
      <c r="E318" s="132"/>
      <c r="F318" s="132"/>
      <c r="G318" s="132"/>
      <c r="H318" s="132"/>
      <c r="I318" s="132"/>
      <c r="J318" s="132"/>
      <c r="K318" s="132"/>
      <c r="L318" s="132"/>
      <c r="M318" s="132"/>
      <c r="N318" s="132"/>
    </row>
    <row r="319" spans="2:22" ht="42.75" customHeight="1" x14ac:dyDescent="0.25">
      <c r="B319" s="49"/>
      <c r="C319" s="67" t="s">
        <v>19</v>
      </c>
      <c r="D319" s="68"/>
      <c r="E319" s="68"/>
      <c r="F319" s="68"/>
      <c r="G319" s="69"/>
      <c r="H319" s="68"/>
      <c r="I319" s="67" t="s">
        <v>20</v>
      </c>
      <c r="J319" s="68"/>
      <c r="K319" s="68"/>
      <c r="L319" s="68"/>
      <c r="M319" s="69"/>
      <c r="N319" s="69"/>
    </row>
    <row r="320" spans="2:22" x14ac:dyDescent="0.25">
      <c r="B320" s="53"/>
      <c r="C320" s="9">
        <v>2016</v>
      </c>
      <c r="D320" s="9"/>
      <c r="E320" s="9"/>
      <c r="F320" s="10">
        <v>2019</v>
      </c>
      <c r="G320" s="10"/>
      <c r="H320" s="10"/>
      <c r="I320" s="9">
        <v>2016</v>
      </c>
      <c r="J320" s="9"/>
      <c r="K320" s="9"/>
      <c r="L320" s="10">
        <v>2019</v>
      </c>
      <c r="M320" s="10"/>
      <c r="N320" s="10"/>
    </row>
    <row r="321" spans="2:18" ht="15.75" thickBot="1" x14ac:dyDescent="0.3">
      <c r="B321" s="54"/>
      <c r="C321" s="14" t="s">
        <v>7</v>
      </c>
      <c r="D321" s="15" t="s">
        <v>8</v>
      </c>
      <c r="E321" s="16" t="s">
        <v>9</v>
      </c>
      <c r="F321" s="55" t="s">
        <v>7</v>
      </c>
      <c r="G321" s="55" t="s">
        <v>8</v>
      </c>
      <c r="H321" s="17" t="s">
        <v>9</v>
      </c>
      <c r="I321" s="14" t="s">
        <v>7</v>
      </c>
      <c r="J321" s="15" t="s">
        <v>8</v>
      </c>
      <c r="K321" s="16" t="s">
        <v>9</v>
      </c>
      <c r="L321" s="55" t="s">
        <v>7</v>
      </c>
      <c r="M321" s="55" t="s">
        <v>8</v>
      </c>
      <c r="N321" s="17" t="s">
        <v>9</v>
      </c>
    </row>
    <row r="322" spans="2:18" ht="15.75" thickBot="1" x14ac:dyDescent="0.3">
      <c r="B322" s="18"/>
      <c r="C322" s="56">
        <v>1.3</v>
      </c>
      <c r="D322" s="57">
        <v>3.5</v>
      </c>
      <c r="E322" s="57">
        <v>3.1</v>
      </c>
      <c r="F322" s="56">
        <v>1.5</v>
      </c>
      <c r="G322" s="57">
        <v>3.6</v>
      </c>
      <c r="H322" s="58">
        <v>3.2</v>
      </c>
      <c r="I322" s="56">
        <f>[1]ARA_eff_age_2016!$G$112/[1]ARA_eff_age_2016!$D$372*1000000</f>
        <v>7.5182338053763171</v>
      </c>
      <c r="J322" s="57">
        <f>[1]ARA_eff_age_2016!$F$112/[1]ARA_eff_age_2016!$B$372*1000000</f>
        <v>47.809411780317113</v>
      </c>
      <c r="K322" s="58">
        <f>[1]ARA_eff_age_2016!$H$112/[1]ARA_eff_age_2016!$F$372*1000000</f>
        <v>40.179678036337933</v>
      </c>
      <c r="L322" s="57">
        <f>[2]ARA_eff_age_2019!$G$112/[2]ARA_eff_age_2019!$D$372*1000000</f>
        <v>10.449009110781576</v>
      </c>
      <c r="M322" s="57">
        <f>[2]ARA_eff_age_2019!$F$112/[2]ARA_eff_age_2019!$B$372*1000000</f>
        <v>34.692868085349879</v>
      </c>
      <c r="N322" s="58">
        <f>[2]ARA_eff_age_2019!$H$112/[2]ARA_eff_age_2019!$F$372*1000000</f>
        <v>30.10359161107921</v>
      </c>
      <c r="P322" s="62"/>
      <c r="Q322" s="62"/>
      <c r="R322" s="62"/>
    </row>
    <row r="323" spans="2:18" x14ac:dyDescent="0.25">
      <c r="B323" s="128" t="s">
        <v>96</v>
      </c>
      <c r="C323" s="106">
        <v>1.1000000000000001</v>
      </c>
      <c r="D323" s="107">
        <v>2.7</v>
      </c>
      <c r="E323" s="108">
        <v>2.4</v>
      </c>
      <c r="F323" s="106">
        <v>0.6</v>
      </c>
      <c r="G323" s="107">
        <v>3.2</v>
      </c>
      <c r="H323" s="107">
        <v>2.7</v>
      </c>
      <c r="I323" s="129">
        <v>20.3</v>
      </c>
      <c r="J323" s="87">
        <v>11.8</v>
      </c>
      <c r="K323" s="96">
        <v>13.5</v>
      </c>
      <c r="L323" s="106">
        <v>5.4</v>
      </c>
      <c r="M323" s="107">
        <v>31.1</v>
      </c>
      <c r="N323" s="108">
        <v>10.5</v>
      </c>
      <c r="P323" s="62"/>
      <c r="Q323" s="62"/>
      <c r="R323" s="62"/>
    </row>
    <row r="324" spans="2:18" x14ac:dyDescent="0.25">
      <c r="B324" s="26" t="s">
        <v>12</v>
      </c>
      <c r="C324" s="59">
        <v>1.4647741266446301</v>
      </c>
      <c r="D324" s="60">
        <v>3.5949843253300142</v>
      </c>
      <c r="E324" s="61">
        <v>3.1349386740273193</v>
      </c>
      <c r="F324" s="59">
        <v>0.79448585880293132</v>
      </c>
      <c r="G324" s="60">
        <v>3.9906366375544318</v>
      </c>
      <c r="H324" s="60">
        <v>3.3196762708259011</v>
      </c>
      <c r="I324" s="59">
        <f>[1]ARA_eff_age_2016!$G108/[1]ARA_eff_age_2016!$D368*1000000</f>
        <v>0</v>
      </c>
      <c r="J324" s="60">
        <f>[1]ARA_eff_age_2016!$F108/[1]ARA_eff_age_2016!$B368*1000000</f>
        <v>14.556816352852834</v>
      </c>
      <c r="K324" s="60">
        <f>[1]ARA_eff_age_2016!$H108/[1]ARA_eff_age_2016!$F368*1000000</f>
        <v>11.413089004220906</v>
      </c>
      <c r="L324" s="59">
        <f>[2]ARA_eff_age_2019!$G108/[2]ARA_eff_age_2019!$D368*1000000</f>
        <v>0</v>
      </c>
      <c r="M324" s="60">
        <f>[2]ARA_eff_age_2019!$F108/[2]ARA_eff_age_2019!$B368*1000000</f>
        <v>46.718924956503194</v>
      </c>
      <c r="N324" s="61">
        <f>[2]ARA_eff_age_2019!$H108/[2]ARA_eff_age_2019!$F368*1000000</f>
        <v>36.911331638198334</v>
      </c>
      <c r="P324" s="62"/>
      <c r="Q324" s="62"/>
      <c r="R324" s="62"/>
    </row>
    <row r="325" spans="2:18" x14ac:dyDescent="0.25">
      <c r="B325" s="26" t="s">
        <v>13</v>
      </c>
      <c r="C325" s="59">
        <v>0.96000971393228329</v>
      </c>
      <c r="D325" s="60">
        <v>3.6679268752080492</v>
      </c>
      <c r="E325" s="61">
        <v>3.1796069959907221</v>
      </c>
      <c r="F325" s="59">
        <v>1.4404895081859894</v>
      </c>
      <c r="G325" s="60">
        <v>3.8419151215787033</v>
      </c>
      <c r="H325" s="60">
        <v>3.3689271571393897</v>
      </c>
      <c r="I325" s="59">
        <v>6.7</v>
      </c>
      <c r="J325" s="60">
        <f>[1]ARA_eff_age_2016!$F109/[1]ARA_eff_age_2016!$B369*1000000</f>
        <v>65.532235494470982</v>
      </c>
      <c r="K325" s="60">
        <f>[1]ARA_eff_age_2016!$H109/[1]ARA_eff_age_2016!$F369*1000000</f>
        <v>54.912242196859189</v>
      </c>
      <c r="L325" s="59">
        <f>[2]ARA_eff_age_2019!$G109/[2]ARA_eff_age_2019!$D369*1000000</f>
        <v>0</v>
      </c>
      <c r="M325" s="60">
        <f>[2]ARA_eff_age_2019!$F109/[2]ARA_eff_age_2019!$B369*1000000</f>
        <v>34.479544052725608</v>
      </c>
      <c r="N325" s="61">
        <f>[2]ARA_eff_age_2019!$H109/[2]ARA_eff_age_2019!$F369*1000000</f>
        <v>27.688407460635236</v>
      </c>
      <c r="P325" s="62"/>
      <c r="Q325" s="62"/>
      <c r="R325" s="62"/>
    </row>
    <row r="326" spans="2:18" ht="15.75" thickBot="1" x14ac:dyDescent="0.3">
      <c r="B326" s="123" t="s">
        <v>95</v>
      </c>
      <c r="C326" s="109">
        <v>1.4</v>
      </c>
      <c r="D326" s="110">
        <v>3.7</v>
      </c>
      <c r="E326" s="111">
        <v>3.4</v>
      </c>
      <c r="F326" s="109">
        <v>6.3</v>
      </c>
      <c r="G326" s="110">
        <v>11.4</v>
      </c>
      <c r="H326" s="110">
        <v>3.3</v>
      </c>
      <c r="I326" s="109">
        <v>8.5</v>
      </c>
      <c r="J326" s="110">
        <v>74.3</v>
      </c>
      <c r="K326" s="110">
        <v>63</v>
      </c>
      <c r="L326" s="109">
        <v>39.9</v>
      </c>
      <c r="M326" s="110">
        <v>19.899999999999999</v>
      </c>
      <c r="N326" s="111">
        <v>36.700000000000003</v>
      </c>
      <c r="P326" s="62"/>
      <c r="Q326" s="62"/>
      <c r="R326" s="62"/>
    </row>
    <row r="327" spans="2:18" x14ac:dyDescent="0.25">
      <c r="B327" s="44" t="s">
        <v>87</v>
      </c>
      <c r="C327" s="101"/>
      <c r="D327" s="101"/>
      <c r="E327" s="101"/>
      <c r="F327" s="101"/>
      <c r="G327" s="46"/>
      <c r="H327" s="46"/>
      <c r="I327" s="46"/>
      <c r="J327" s="46"/>
      <c r="K327" s="46"/>
      <c r="L327" s="107"/>
      <c r="M327" s="107"/>
      <c r="N327" s="107"/>
    </row>
    <row r="328" spans="2:18" ht="14.45" customHeight="1" x14ac:dyDescent="0.25">
      <c r="B328" s="133" t="s">
        <v>88</v>
      </c>
      <c r="C328" s="133"/>
      <c r="D328" s="133"/>
      <c r="E328" s="133"/>
      <c r="F328" s="133"/>
      <c r="G328" s="133"/>
      <c r="H328" s="133"/>
      <c r="I328" s="133"/>
      <c r="J328" s="133"/>
      <c r="K328" s="120"/>
      <c r="L328" s="107"/>
      <c r="M328" s="107"/>
      <c r="N328" s="107"/>
    </row>
    <row r="329" spans="2:18" x14ac:dyDescent="0.25">
      <c r="B329" s="113" t="s">
        <v>58</v>
      </c>
      <c r="C329" s="48"/>
      <c r="D329" s="48"/>
      <c r="E329" s="48"/>
      <c r="F329" s="48"/>
      <c r="G329" s="48"/>
      <c r="H329" s="48"/>
      <c r="I329" s="48"/>
      <c r="J329" s="48"/>
      <c r="K329" s="48"/>
    </row>
    <row r="330" spans="2:18" ht="15.75" thickBot="1" x14ac:dyDescent="0.3"/>
    <row r="331" spans="2:18" ht="15" customHeight="1" thickTop="1" x14ac:dyDescent="0.25">
      <c r="B331" s="152" t="s">
        <v>81</v>
      </c>
      <c r="C331" s="136"/>
      <c r="D331" s="136"/>
      <c r="E331" s="136"/>
      <c r="F331" s="136"/>
      <c r="G331" s="153"/>
    </row>
    <row r="332" spans="2:18" x14ac:dyDescent="0.25">
      <c r="B332" s="154"/>
      <c r="C332" s="139"/>
      <c r="D332" s="139"/>
      <c r="E332" s="139"/>
      <c r="F332" s="139"/>
      <c r="G332" s="155"/>
    </row>
    <row r="333" spans="2:18" x14ac:dyDescent="0.25">
      <c r="B333" s="154"/>
      <c r="C333" s="139"/>
      <c r="D333" s="139"/>
      <c r="E333" s="139"/>
      <c r="F333" s="139"/>
      <c r="G333" s="155"/>
    </row>
    <row r="334" spans="2:18" x14ac:dyDescent="0.25">
      <c r="B334" s="154"/>
      <c r="C334" s="139"/>
      <c r="D334" s="139"/>
      <c r="E334" s="139"/>
      <c r="F334" s="139"/>
      <c r="G334" s="155"/>
    </row>
    <row r="335" spans="2:18" x14ac:dyDescent="0.25">
      <c r="B335" s="154"/>
      <c r="C335" s="139"/>
      <c r="D335" s="139"/>
      <c r="E335" s="139"/>
      <c r="F335" s="139"/>
      <c r="G335" s="155"/>
    </row>
    <row r="336" spans="2:18" x14ac:dyDescent="0.25">
      <c r="B336" s="154"/>
      <c r="C336" s="139"/>
      <c r="D336" s="139"/>
      <c r="E336" s="139"/>
      <c r="F336" s="139"/>
      <c r="G336" s="155"/>
    </row>
    <row r="337" spans="2:7" x14ac:dyDescent="0.25">
      <c r="B337" s="154"/>
      <c r="C337" s="139"/>
      <c r="D337" s="139"/>
      <c r="E337" s="139"/>
      <c r="F337" s="139"/>
      <c r="G337" s="155"/>
    </row>
    <row r="338" spans="2:7" x14ac:dyDescent="0.25">
      <c r="B338" s="154"/>
      <c r="C338" s="139"/>
      <c r="D338" s="139"/>
      <c r="E338" s="139"/>
      <c r="F338" s="139"/>
      <c r="G338" s="155"/>
    </row>
    <row r="339" spans="2:7" x14ac:dyDescent="0.25">
      <c r="B339" s="154"/>
      <c r="C339" s="139"/>
      <c r="D339" s="139"/>
      <c r="E339" s="139"/>
      <c r="F339" s="139"/>
      <c r="G339" s="155"/>
    </row>
    <row r="340" spans="2:7" x14ac:dyDescent="0.25">
      <c r="B340" s="154"/>
      <c r="C340" s="139"/>
      <c r="D340" s="139"/>
      <c r="E340" s="139"/>
      <c r="F340" s="139"/>
      <c r="G340" s="155"/>
    </row>
    <row r="341" spans="2:7" x14ac:dyDescent="0.25">
      <c r="B341" s="154"/>
      <c r="C341" s="139"/>
      <c r="D341" s="139"/>
      <c r="E341" s="139"/>
      <c r="F341" s="139"/>
      <c r="G341" s="155"/>
    </row>
    <row r="342" spans="2:7" x14ac:dyDescent="0.25">
      <c r="B342" s="154"/>
      <c r="C342" s="139"/>
      <c r="D342" s="139"/>
      <c r="E342" s="139"/>
      <c r="F342" s="139"/>
      <c r="G342" s="155"/>
    </row>
    <row r="343" spans="2:7" x14ac:dyDescent="0.25">
      <c r="B343" s="154"/>
      <c r="C343" s="139"/>
      <c r="D343" s="139"/>
      <c r="E343" s="139"/>
      <c r="F343" s="139"/>
      <c r="G343" s="155"/>
    </row>
    <row r="344" spans="2:7" x14ac:dyDescent="0.25">
      <c r="B344" s="154"/>
      <c r="C344" s="139"/>
      <c r="D344" s="139"/>
      <c r="E344" s="139"/>
      <c r="F344" s="139"/>
      <c r="G344" s="155"/>
    </row>
    <row r="345" spans="2:7" x14ac:dyDescent="0.25">
      <c r="B345" s="154"/>
      <c r="C345" s="139"/>
      <c r="D345" s="139"/>
      <c r="E345" s="139"/>
      <c r="F345" s="139"/>
      <c r="G345" s="155"/>
    </row>
    <row r="346" spans="2:7" x14ac:dyDescent="0.25">
      <c r="B346" s="154"/>
      <c r="C346" s="139"/>
      <c r="D346" s="139"/>
      <c r="E346" s="139"/>
      <c r="F346" s="139"/>
      <c r="G346" s="155"/>
    </row>
    <row r="347" spans="2:7" x14ac:dyDescent="0.25">
      <c r="B347" s="154"/>
      <c r="C347" s="139"/>
      <c r="D347" s="139"/>
      <c r="E347" s="139"/>
      <c r="F347" s="139"/>
      <c r="G347" s="155"/>
    </row>
    <row r="348" spans="2:7" x14ac:dyDescent="0.25">
      <c r="B348" s="154"/>
      <c r="C348" s="139"/>
      <c r="D348" s="139"/>
      <c r="E348" s="139"/>
      <c r="F348" s="139"/>
      <c r="G348" s="155"/>
    </row>
    <row r="349" spans="2:7" x14ac:dyDescent="0.25">
      <c r="B349" s="154"/>
      <c r="C349" s="139"/>
      <c r="D349" s="139"/>
      <c r="E349" s="139"/>
      <c r="F349" s="139"/>
      <c r="G349" s="155"/>
    </row>
    <row r="350" spans="2:7" ht="14.45" customHeight="1" x14ac:dyDescent="0.25">
      <c r="B350" s="154"/>
      <c r="C350" s="139"/>
      <c r="D350" s="139"/>
      <c r="E350" s="139"/>
      <c r="F350" s="139"/>
      <c r="G350" s="155"/>
    </row>
    <row r="351" spans="2:7" x14ac:dyDescent="0.25">
      <c r="B351" s="154"/>
      <c r="C351" s="139"/>
      <c r="D351" s="139"/>
      <c r="E351" s="139"/>
      <c r="F351" s="139"/>
      <c r="G351" s="155"/>
    </row>
    <row r="352" spans="2:7" x14ac:dyDescent="0.25">
      <c r="B352" s="154"/>
      <c r="C352" s="139"/>
      <c r="D352" s="139"/>
      <c r="E352" s="139"/>
      <c r="F352" s="139"/>
      <c r="G352" s="155"/>
    </row>
    <row r="353" spans="2:14" x14ac:dyDescent="0.25">
      <c r="B353" s="154"/>
      <c r="C353" s="139"/>
      <c r="D353" s="139"/>
      <c r="E353" s="139"/>
      <c r="F353" s="139"/>
      <c r="G353" s="155"/>
    </row>
    <row r="354" spans="2:14" x14ac:dyDescent="0.25">
      <c r="B354" s="154"/>
      <c r="C354" s="139"/>
      <c r="D354" s="139"/>
      <c r="E354" s="139"/>
      <c r="F354" s="139"/>
      <c r="G354" s="155"/>
    </row>
    <row r="355" spans="2:14" x14ac:dyDescent="0.25">
      <c r="B355" s="154"/>
      <c r="C355" s="139"/>
      <c r="D355" s="139"/>
      <c r="E355" s="139"/>
      <c r="F355" s="139"/>
      <c r="G355" s="155"/>
    </row>
    <row r="356" spans="2:14" x14ac:dyDescent="0.25">
      <c r="B356" s="154"/>
      <c r="C356" s="139"/>
      <c r="D356" s="139"/>
      <c r="E356" s="139"/>
      <c r="F356" s="139"/>
      <c r="G356" s="155"/>
    </row>
    <row r="357" spans="2:14" x14ac:dyDescent="0.25">
      <c r="B357" s="154"/>
      <c r="C357" s="139"/>
      <c r="D357" s="139"/>
      <c r="E357" s="139"/>
      <c r="F357" s="139"/>
      <c r="G357" s="155"/>
    </row>
    <row r="358" spans="2:14" x14ac:dyDescent="0.25">
      <c r="B358" s="154"/>
      <c r="C358" s="139"/>
      <c r="D358" s="139"/>
      <c r="E358" s="139"/>
      <c r="F358" s="139"/>
      <c r="G358" s="155"/>
    </row>
    <row r="359" spans="2:14" ht="15.75" thickBot="1" x14ac:dyDescent="0.3">
      <c r="B359" s="156"/>
      <c r="C359" s="157"/>
      <c r="D359" s="157"/>
      <c r="E359" s="157"/>
      <c r="F359" s="157"/>
      <c r="G359" s="158"/>
    </row>
    <row r="360" spans="2:14" ht="9.6" customHeight="1" thickTop="1" x14ac:dyDescent="0.25">
      <c r="B360" s="79"/>
      <c r="C360" s="79"/>
      <c r="D360" s="79"/>
      <c r="E360" s="79"/>
      <c r="F360" s="79"/>
      <c r="G360" s="79"/>
    </row>
    <row r="361" spans="2:14" ht="9.6" customHeight="1" x14ac:dyDescent="0.25">
      <c r="B361" s="79"/>
      <c r="C361" s="79"/>
      <c r="D361" s="79"/>
      <c r="E361" s="79"/>
      <c r="F361" s="79"/>
      <c r="G361" s="79"/>
    </row>
    <row r="362" spans="2:14" x14ac:dyDescent="0.25">
      <c r="B362" s="3" t="s">
        <v>25</v>
      </c>
      <c r="C362" s="4"/>
      <c r="D362" s="4"/>
    </row>
    <row r="363" spans="2:14" ht="15.75" customHeight="1" x14ac:dyDescent="0.25">
      <c r="B363" s="2"/>
    </row>
    <row r="364" spans="2:14" ht="20.100000000000001" customHeight="1" thickBot="1" x14ac:dyDescent="0.3">
      <c r="B364" s="134" t="s">
        <v>26</v>
      </c>
      <c r="C364" s="134"/>
      <c r="D364" s="134"/>
      <c r="E364" s="134"/>
      <c r="F364" s="134"/>
      <c r="G364" s="134"/>
      <c r="H364" s="134"/>
      <c r="I364" s="134"/>
      <c r="J364" s="134"/>
      <c r="K364" s="134"/>
      <c r="L364" s="134"/>
      <c r="M364" s="134"/>
      <c r="N364" s="134"/>
    </row>
    <row r="365" spans="2:14" ht="36" customHeight="1" thickBot="1" x14ac:dyDescent="0.3">
      <c r="C365" s="144" t="s">
        <v>39</v>
      </c>
      <c r="D365" s="145"/>
      <c r="E365" s="145"/>
      <c r="F365" s="146"/>
      <c r="G365" s="178" t="s">
        <v>4</v>
      </c>
      <c r="H365" s="179"/>
      <c r="I365" s="179"/>
      <c r="J365" s="179"/>
      <c r="K365" s="179"/>
      <c r="L365" s="179"/>
      <c r="M365" s="179"/>
      <c r="N365" s="180"/>
    </row>
    <row r="366" spans="2:14" ht="15" customHeight="1" x14ac:dyDescent="0.25">
      <c r="B366" s="147"/>
      <c r="C366" s="149" t="s">
        <v>5</v>
      </c>
      <c r="D366" s="150"/>
      <c r="E366" s="150" t="s">
        <v>6</v>
      </c>
      <c r="F366" s="151"/>
      <c r="G366" s="9">
        <v>2016</v>
      </c>
      <c r="H366" s="9"/>
      <c r="I366" s="9"/>
      <c r="J366" s="10">
        <v>2019</v>
      </c>
      <c r="K366" s="10"/>
      <c r="L366" s="10"/>
      <c r="M366" s="10"/>
      <c r="N366" s="10"/>
    </row>
    <row r="367" spans="2:14" ht="15.75" thickBot="1" x14ac:dyDescent="0.3">
      <c r="B367" s="148"/>
      <c r="C367" s="11" t="s">
        <v>7</v>
      </c>
      <c r="D367" s="12" t="s">
        <v>8</v>
      </c>
      <c r="E367" s="12" t="s">
        <v>7</v>
      </c>
      <c r="F367" s="13" t="s">
        <v>8</v>
      </c>
      <c r="G367" s="14" t="s">
        <v>7</v>
      </c>
      <c r="H367" s="15" t="s">
        <v>8</v>
      </c>
      <c r="I367" s="16" t="s">
        <v>9</v>
      </c>
      <c r="J367" s="90" t="s">
        <v>7</v>
      </c>
      <c r="K367" s="91"/>
      <c r="L367" s="92" t="s">
        <v>8</v>
      </c>
      <c r="M367" s="92"/>
      <c r="N367" s="17" t="s">
        <v>9</v>
      </c>
    </row>
    <row r="368" spans="2:14" ht="15.75" thickBot="1" x14ac:dyDescent="0.3">
      <c r="B368" s="18"/>
      <c r="C368" s="19">
        <v>0.85</v>
      </c>
      <c r="D368" s="20">
        <v>0.15</v>
      </c>
      <c r="E368" s="19">
        <v>1</v>
      </c>
      <c r="F368" s="20">
        <v>1</v>
      </c>
      <c r="G368" s="21">
        <f>SUM(G369:G374)</f>
        <v>3780</v>
      </c>
      <c r="H368" s="22">
        <f>SUM(H369:H374)</f>
        <v>998</v>
      </c>
      <c r="I368" s="23">
        <f>SUM(I369:I374)</f>
        <v>4778</v>
      </c>
      <c r="J368" s="21">
        <f>SUM(J369:J374)</f>
        <v>4190</v>
      </c>
      <c r="K368" s="24">
        <v>1</v>
      </c>
      <c r="L368" s="25">
        <f>SUM(L369:L374)</f>
        <v>996</v>
      </c>
      <c r="M368" s="24">
        <v>1</v>
      </c>
      <c r="N368" s="23">
        <f t="shared" ref="N368:N374" si="18">J368+L368</f>
        <v>5186</v>
      </c>
    </row>
    <row r="369" spans="2:18" x14ac:dyDescent="0.25">
      <c r="B369" s="26" t="s">
        <v>10</v>
      </c>
      <c r="C369" s="27">
        <v>0.81</v>
      </c>
      <c r="D369" s="28">
        <v>0.19</v>
      </c>
      <c r="E369" s="29">
        <v>1.1641146780415683E-2</v>
      </c>
      <c r="F369" s="30">
        <v>1.5590635843800401E-2</v>
      </c>
      <c r="G369" s="31">
        <f>[1]ARA_eff_age_2016!$C$265</f>
        <v>47</v>
      </c>
      <c r="H369" s="95">
        <f>[1]ARA_eff_age_2016!$B$265</f>
        <v>24</v>
      </c>
      <c r="I369" s="33">
        <f t="shared" ref="I369:I374" si="19">G369+H369</f>
        <v>71</v>
      </c>
      <c r="J369" s="31">
        <v>74</v>
      </c>
      <c r="K369" s="71">
        <f t="shared" ref="K369:K374" si="20">J369/$J$368</f>
        <v>1.7661097852028639E-2</v>
      </c>
      <c r="L369" s="32">
        <v>20</v>
      </c>
      <c r="M369" s="71">
        <f t="shared" ref="M369:M374" si="21">L369/$L$368</f>
        <v>2.0080321285140562E-2</v>
      </c>
      <c r="N369" s="33">
        <f t="shared" si="18"/>
        <v>94</v>
      </c>
    </row>
    <row r="370" spans="2:18" x14ac:dyDescent="0.25">
      <c r="B370" s="26" t="s">
        <v>11</v>
      </c>
      <c r="C370" s="27">
        <v>0.81</v>
      </c>
      <c r="D370" s="28">
        <v>0.19</v>
      </c>
      <c r="E370" s="29">
        <v>0.13520724640144113</v>
      </c>
      <c r="F370" s="30">
        <v>0.17921900200381213</v>
      </c>
      <c r="G370" s="31">
        <f>[1]ARA_eff_age_2016!$C267</f>
        <v>930</v>
      </c>
      <c r="H370" s="32">
        <f>[1]ARA_eff_age_2016!$B267</f>
        <v>250</v>
      </c>
      <c r="I370" s="33">
        <f t="shared" si="19"/>
        <v>1180</v>
      </c>
      <c r="J370" s="31">
        <v>1021</v>
      </c>
      <c r="K370" s="71">
        <f t="shared" si="20"/>
        <v>0.24367541766109785</v>
      </c>
      <c r="L370" s="32">
        <v>212</v>
      </c>
      <c r="M370" s="71">
        <f t="shared" si="21"/>
        <v>0.21285140562248997</v>
      </c>
      <c r="N370" s="33">
        <f t="shared" si="18"/>
        <v>1233</v>
      </c>
    </row>
    <row r="371" spans="2:18" x14ac:dyDescent="0.25">
      <c r="B371" s="26" t="s">
        <v>12</v>
      </c>
      <c r="C371" s="27">
        <v>0.83</v>
      </c>
      <c r="D371" s="28">
        <v>0.17</v>
      </c>
      <c r="E371" s="29">
        <v>0.20730588175313971</v>
      </c>
      <c r="F371" s="30">
        <v>0.24114168417965887</v>
      </c>
      <c r="G371" s="31">
        <f>[1]ARA_eff_age_2016!$C268</f>
        <v>778</v>
      </c>
      <c r="H371" s="32">
        <f>[1]ARA_eff_age_2016!$B268</f>
        <v>262</v>
      </c>
      <c r="I371" s="33">
        <f t="shared" si="19"/>
        <v>1040</v>
      </c>
      <c r="J371" s="31">
        <v>923</v>
      </c>
      <c r="K371" s="71">
        <f t="shared" si="20"/>
        <v>0.22028639618138424</v>
      </c>
      <c r="L371" s="32">
        <v>268</v>
      </c>
      <c r="M371" s="71">
        <f t="shared" si="21"/>
        <v>0.26907630522088355</v>
      </c>
      <c r="N371" s="33">
        <f t="shared" si="18"/>
        <v>1191</v>
      </c>
    </row>
    <row r="372" spans="2:18" x14ac:dyDescent="0.25">
      <c r="B372" s="26" t="s">
        <v>13</v>
      </c>
      <c r="C372" s="27">
        <v>0.85</v>
      </c>
      <c r="D372" s="28">
        <v>0.15</v>
      </c>
      <c r="E372" s="29">
        <v>0.26184932787247422</v>
      </c>
      <c r="F372" s="30">
        <v>0.2640144665461121</v>
      </c>
      <c r="G372" s="31">
        <f>[1]ARA_eff_age_2016!$C269</f>
        <v>922</v>
      </c>
      <c r="H372" s="32">
        <f>[1]ARA_eff_age_2016!$B269</f>
        <v>234</v>
      </c>
      <c r="I372" s="33">
        <f t="shared" si="19"/>
        <v>1156</v>
      </c>
      <c r="J372" s="31">
        <v>938</v>
      </c>
      <c r="K372" s="71">
        <f t="shared" si="20"/>
        <v>0.22386634844868736</v>
      </c>
      <c r="L372" s="32">
        <v>239</v>
      </c>
      <c r="M372" s="71">
        <f t="shared" si="21"/>
        <v>0.23995983935742971</v>
      </c>
      <c r="N372" s="33">
        <f t="shared" si="18"/>
        <v>1177</v>
      </c>
    </row>
    <row r="373" spans="2:18" x14ac:dyDescent="0.25">
      <c r="B373" s="26" t="s">
        <v>14</v>
      </c>
      <c r="C373" s="27">
        <v>0.88</v>
      </c>
      <c r="D373" s="28">
        <v>0.12</v>
      </c>
      <c r="E373" s="29">
        <v>0.30306068691263194</v>
      </c>
      <c r="F373" s="30">
        <v>0.24788622256976686</v>
      </c>
      <c r="G373" s="31">
        <f>[1]ARA_eff_age_2016!$C270</f>
        <v>938</v>
      </c>
      <c r="H373" s="32">
        <f>[1]ARA_eff_age_2016!$B270</f>
        <v>204</v>
      </c>
      <c r="I373" s="33">
        <f t="shared" si="19"/>
        <v>1142</v>
      </c>
      <c r="J373" s="31">
        <v>1024</v>
      </c>
      <c r="K373" s="71">
        <f t="shared" si="20"/>
        <v>0.24439140811455848</v>
      </c>
      <c r="L373" s="32">
        <v>221</v>
      </c>
      <c r="M373" s="71">
        <f t="shared" si="21"/>
        <v>0.22188755020080322</v>
      </c>
      <c r="N373" s="33">
        <f t="shared" si="18"/>
        <v>1245</v>
      </c>
    </row>
    <row r="374" spans="2:18" ht="15.75" thickBot="1" x14ac:dyDescent="0.3">
      <c r="B374" s="36" t="s">
        <v>15</v>
      </c>
      <c r="C374" s="37">
        <v>0.9</v>
      </c>
      <c r="D374" s="38">
        <v>0.1</v>
      </c>
      <c r="E374" s="37">
        <v>8.0935710279897349E-2</v>
      </c>
      <c r="F374" s="38">
        <v>5.2147988856849618E-2</v>
      </c>
      <c r="G374" s="93">
        <f>[1]ARA_eff_age_2016!$C271</f>
        <v>165</v>
      </c>
      <c r="H374" s="94">
        <f>[1]ARA_eff_age_2016!$B271</f>
        <v>24</v>
      </c>
      <c r="I374" s="82">
        <f t="shared" si="19"/>
        <v>189</v>
      </c>
      <c r="J374" s="39">
        <v>210</v>
      </c>
      <c r="K374" s="72">
        <f t="shared" si="20"/>
        <v>5.0119331742243436E-2</v>
      </c>
      <c r="L374" s="40">
        <v>36</v>
      </c>
      <c r="M374" s="72">
        <f t="shared" si="21"/>
        <v>3.614457831325301E-2</v>
      </c>
      <c r="N374" s="82">
        <f t="shared" si="18"/>
        <v>246</v>
      </c>
    </row>
    <row r="375" spans="2:18" x14ac:dyDescent="0.25">
      <c r="B375" s="44" t="s">
        <v>87</v>
      </c>
      <c r="C375" s="101"/>
      <c r="D375" s="101"/>
      <c r="E375" s="101"/>
      <c r="F375" s="101"/>
      <c r="G375" s="46"/>
      <c r="H375" s="46"/>
      <c r="I375" s="46"/>
      <c r="J375" s="46"/>
      <c r="K375" s="46"/>
      <c r="L375" s="107"/>
      <c r="M375" s="107"/>
      <c r="N375" s="107"/>
    </row>
    <row r="376" spans="2:18" ht="14.45" customHeight="1" x14ac:dyDescent="0.25">
      <c r="B376" s="133" t="s">
        <v>88</v>
      </c>
      <c r="C376" s="133"/>
      <c r="D376" s="133"/>
      <c r="E376" s="133"/>
      <c r="F376" s="133"/>
      <c r="G376" s="133"/>
      <c r="H376" s="133"/>
      <c r="I376" s="133"/>
      <c r="J376" s="133"/>
      <c r="K376" s="120"/>
      <c r="L376" s="107"/>
      <c r="M376" s="107"/>
      <c r="N376" s="107"/>
    </row>
    <row r="377" spans="2:18" x14ac:dyDescent="0.25">
      <c r="B377" s="47" t="s">
        <v>59</v>
      </c>
      <c r="C377" s="48"/>
      <c r="D377" s="48"/>
      <c r="E377" s="48"/>
      <c r="F377" s="48"/>
      <c r="G377" s="48"/>
      <c r="H377" s="48"/>
      <c r="I377" s="48"/>
      <c r="J377" s="48"/>
      <c r="K377" s="48"/>
    </row>
    <row r="379" spans="2:18" ht="20.100000000000001" customHeight="1" thickBot="1" x14ac:dyDescent="0.3">
      <c r="B379" s="132" t="s">
        <v>26</v>
      </c>
      <c r="C379" s="132"/>
      <c r="D379" s="132"/>
      <c r="E379" s="132"/>
      <c r="F379" s="132"/>
      <c r="G379" s="132"/>
      <c r="H379" s="132"/>
      <c r="I379" s="132"/>
      <c r="J379" s="132"/>
      <c r="K379" s="132"/>
      <c r="L379" s="132"/>
      <c r="M379" s="132"/>
      <c r="N379" s="132"/>
    </row>
    <row r="380" spans="2:18" ht="29.25" customHeight="1" x14ac:dyDescent="0.25">
      <c r="B380" s="49"/>
      <c r="C380" s="50" t="s">
        <v>17</v>
      </c>
      <c r="D380" s="51"/>
      <c r="E380" s="51"/>
      <c r="F380" s="51"/>
      <c r="G380" s="52"/>
      <c r="H380" s="51"/>
      <c r="I380" s="50" t="s">
        <v>18</v>
      </c>
      <c r="J380" s="51"/>
      <c r="K380" s="51"/>
      <c r="L380" s="51"/>
      <c r="M380" s="52"/>
      <c r="N380" s="52"/>
    </row>
    <row r="381" spans="2:18" x14ac:dyDescent="0.25">
      <c r="B381" s="53"/>
      <c r="C381" s="9">
        <v>2016</v>
      </c>
      <c r="D381" s="9"/>
      <c r="E381" s="9"/>
      <c r="F381" s="10">
        <v>2019</v>
      </c>
      <c r="G381" s="10"/>
      <c r="H381" s="10"/>
      <c r="I381" s="9">
        <v>2016</v>
      </c>
      <c r="J381" s="9"/>
      <c r="K381" s="9"/>
      <c r="L381" s="10">
        <v>2019</v>
      </c>
      <c r="M381" s="10"/>
      <c r="N381" s="10"/>
    </row>
    <row r="382" spans="2:18" ht="15.75" thickBot="1" x14ac:dyDescent="0.3">
      <c r="B382" s="54"/>
      <c r="C382" s="14" t="s">
        <v>7</v>
      </c>
      <c r="D382" s="15" t="s">
        <v>8</v>
      </c>
      <c r="E382" s="16" t="s">
        <v>9</v>
      </c>
      <c r="F382" s="55" t="s">
        <v>7</v>
      </c>
      <c r="G382" s="55" t="s">
        <v>8</v>
      </c>
      <c r="H382" s="17" t="s">
        <v>9</v>
      </c>
      <c r="I382" s="14" t="s">
        <v>7</v>
      </c>
      <c r="J382" s="15" t="s">
        <v>8</v>
      </c>
      <c r="K382" s="16" t="s">
        <v>9</v>
      </c>
      <c r="L382" s="55" t="s">
        <v>7</v>
      </c>
      <c r="M382" s="55" t="s">
        <v>8</v>
      </c>
      <c r="N382" s="17" t="s">
        <v>9</v>
      </c>
    </row>
    <row r="383" spans="2:18" ht="15.75" thickBot="1" x14ac:dyDescent="0.3">
      <c r="B383" s="18"/>
      <c r="C383" s="56">
        <v>30.8</v>
      </c>
      <c r="D383" s="57">
        <v>47</v>
      </c>
      <c r="E383" s="57">
        <v>33.200000000000003</v>
      </c>
      <c r="F383" s="56">
        <f>J368/([3]NA88_AGE_SEXE!$D$2051+[3]NA88_AGE_SEXE!$D$2053+[3]NA88_AGE_SEXE!$D$2055+[3]NA88_AGE_SEXE!$D$2057+[3]NA88_AGE_SEXE!$D$2059+[3]NA88_AGE_SEXE!$D$2061+[3]NA88_AGE_SEXE!$D$2063+[3]NA88_AGE_SEXE!$D$2065+[3]NA88_AGE_SEXE!$D$2067+[3]NA88_AGE_SEXE!$D$2069+[3]NA88_AGE_SEXE!$D$2071+[3]NA88_AGE_SEXE!$D$2073)*1000</f>
        <v>35.603215335723874</v>
      </c>
      <c r="G383" s="57">
        <f>L368/([3]NA88_AGE_SEXE!$D$2050+[3]NA88_AGE_SEXE!$D$2052+[3]NA88_AGE_SEXE!$D$2054+[3]NA88_AGE_SEXE!$D$2056+[3]NA88_AGE_SEXE!$D$2058+[3]NA88_AGE_SEXE!$D$2060+[3]NA88_AGE_SEXE!$D$2062+[3]NA88_AGE_SEXE!$D$2064+[3]NA88_AGE_SEXE!$D$2066+[3]NA88_AGE_SEXE!$D$2068+[3]NA88_AGE_SEXE!$D$2070+[3]NA88_AGE_SEXE!$D$2072)*1000</f>
        <v>48.677972728605639</v>
      </c>
      <c r="H383" s="58">
        <v>37.539722179996666</v>
      </c>
      <c r="I383" s="56">
        <f>G368/[1]ARA_eff_age_2016!$D532*1000000</f>
        <v>42.152275516827295</v>
      </c>
      <c r="J383" s="57">
        <f>H368/[1]ARA_eff_age_2016!$B$532*1000000</f>
        <v>44.939975975124867</v>
      </c>
      <c r="K383" s="58">
        <f>I368/[1]ARA_eff_age_2016!$F$532*1000000</f>
        <v>42.705603365571932</v>
      </c>
      <c r="L383" s="57">
        <f>J368/[2]ARA_eff_age_2019!$D$532*1000000</f>
        <v>43.102976310509575</v>
      </c>
      <c r="M383" s="57">
        <f>L368/[2]ARA_eff_age_2019!$B$532*1000000</f>
        <v>32.93055822096904</v>
      </c>
      <c r="N383" s="58">
        <v>40.1</v>
      </c>
      <c r="P383" s="62"/>
      <c r="Q383" s="62"/>
      <c r="R383" s="62"/>
    </row>
    <row r="384" spans="2:18" x14ac:dyDescent="0.25">
      <c r="B384" s="26" t="s">
        <v>10</v>
      </c>
      <c r="C384" s="59">
        <v>47.9</v>
      </c>
      <c r="D384" s="60">
        <v>40.1</v>
      </c>
      <c r="E384" s="61">
        <v>46.3</v>
      </c>
      <c r="F384" s="59">
        <f>J369/([3]NA88_AGE_SEXE!$D$2051+[3]NA88_AGE_SEXE!$D$2053)*1000</f>
        <v>54.01459854014599</v>
      </c>
      <c r="G384" s="60">
        <f>L369/([3]NA88_AGE_SEXE!$D$2050+[3]NA88_AGE_SEXE!$D$2052)*1000</f>
        <v>62.695924764890279</v>
      </c>
      <c r="H384" s="61">
        <f>N369/([3]NA88_AGE_SEXE!$D$2050+[3]NA88_AGE_SEXE!$D$2051+[3]NA88_AGE_SEXE!$D$2052+[3]NA88_AGE_SEXE!$D$2053)*1000</f>
        <v>55.654233274126703</v>
      </c>
      <c r="I384" s="59">
        <f>G369/[1]ARA_eff_age_2016!$D525*1000000</f>
        <v>82.814713531571783</v>
      </c>
      <c r="J384" s="60">
        <f>H369/[1]ARA_eff_age_2016!$B$525*1000000</f>
        <v>164.84875127070913</v>
      </c>
      <c r="K384" s="61">
        <f>I369/[1]ARA_eff_age_2016!$F$525*1000000</f>
        <v>99.562485977114648</v>
      </c>
      <c r="L384" s="59">
        <v>67.7</v>
      </c>
      <c r="M384" s="60">
        <v>62.2</v>
      </c>
      <c r="N384" s="61">
        <v>66.599999999999994</v>
      </c>
      <c r="P384" s="62"/>
      <c r="Q384" s="62"/>
      <c r="R384" s="62"/>
    </row>
    <row r="385" spans="2:18" x14ac:dyDescent="0.25">
      <c r="B385" s="26" t="s">
        <v>11</v>
      </c>
      <c r="C385" s="59">
        <v>58.5</v>
      </c>
      <c r="D385" s="60">
        <v>71.7</v>
      </c>
      <c r="E385" s="61">
        <v>60.9</v>
      </c>
      <c r="F385" s="59">
        <f>J370/([3]NA88_AGE_SEXE!$D$2055+[3]NA88_AGE_SEXE!$D$2057)*1000</f>
        <v>64.165409753645037</v>
      </c>
      <c r="G385" s="60">
        <f>L370/([3]NA88_AGE_SEXE!$D$2054+[3]NA88_AGE_SEXE!$D$2056)*1000</f>
        <v>57.812926097627489</v>
      </c>
      <c r="H385" s="61">
        <f>N370/([3]NA88_AGE_SEXE!$D$2054+[3]NA88_AGE_SEXE!$D$2055+[3]NA88_AGE_SEXE!$D$2056+[3]NA88_AGE_SEXE!$D$2057)*1000</f>
        <v>62.975637162265691</v>
      </c>
      <c r="I385" s="59">
        <f>G370/[1]ARA_eff_age_2016!$D527*1000000</f>
        <v>54.668813681452583</v>
      </c>
      <c r="J385" s="60">
        <f>H370/[1]ARA_eff_age_2016!$B527*1000000</f>
        <v>67.474252499988523</v>
      </c>
      <c r="K385" s="61">
        <f>I370/[1]ARA_eff_age_2016!$F527*1000000</f>
        <v>56.959032553728299</v>
      </c>
      <c r="L385" s="59">
        <v>48.474786691286617</v>
      </c>
      <c r="M385" s="60">
        <v>32.473099839553832</v>
      </c>
      <c r="N385" s="61">
        <v>48.5</v>
      </c>
      <c r="P385" s="62"/>
      <c r="Q385" s="62"/>
      <c r="R385" s="62"/>
    </row>
    <row r="386" spans="2:18" x14ac:dyDescent="0.25">
      <c r="B386" s="26" t="s">
        <v>12</v>
      </c>
      <c r="C386" s="59">
        <v>31.3</v>
      </c>
      <c r="D386" s="60">
        <v>55.9</v>
      </c>
      <c r="E386" s="61">
        <v>35.299999999999997</v>
      </c>
      <c r="F386" s="59">
        <f>J371/([3]NA88_AGE_SEXE!$D$2059+[3]NA88_AGE_SEXE!$D$2061)*1000</f>
        <v>37.832520391851453</v>
      </c>
      <c r="G386" s="60">
        <f>L371/([3]NA88_AGE_SEXE!$D$2058+[3]NA88_AGE_SEXE!$D$2060)*1000</f>
        <v>54.316984191325496</v>
      </c>
      <c r="H386" s="61">
        <f>N371/([3]NA88_AGE_SEXE!$D$2058+[3]NA88_AGE_SEXE!$D$2059+[3]NA88_AGE_SEXE!$D$2060+[3]NA88_AGE_SEXE!$D$2061)*1000</f>
        <v>40.60550271044287</v>
      </c>
      <c r="I386" s="59">
        <f>G371/[1]ARA_eff_age_2016!$D528*1000000</f>
        <v>41.041732652813579</v>
      </c>
      <c r="J386" s="60">
        <f>H371/[1]ARA_eff_age_2016!$B528*1000000</f>
        <v>52.633394154501495</v>
      </c>
      <c r="K386" s="61">
        <f>I371/[1]ARA_eff_age_2016!$F528*1000000</f>
        <v>43.452568956864205</v>
      </c>
      <c r="L386" s="59">
        <v>40.59598549520053</v>
      </c>
      <c r="M386" s="60">
        <v>34.016947579387754</v>
      </c>
      <c r="N386" s="61">
        <v>40.6</v>
      </c>
      <c r="P386" s="62"/>
      <c r="Q386" s="62"/>
      <c r="R386" s="62"/>
    </row>
    <row r="387" spans="2:18" x14ac:dyDescent="0.25">
      <c r="B387" s="26" t="s">
        <v>13</v>
      </c>
      <c r="C387" s="59">
        <v>26.9</v>
      </c>
      <c r="D387" s="60">
        <v>36.1</v>
      </c>
      <c r="E387" s="61">
        <v>28.3</v>
      </c>
      <c r="F387" s="59">
        <f>J372/([3]NA88_AGE_SEXE!$D$2063+[3]NA88_AGE_SEXE!$D$2065)*1000</f>
        <v>30.438733125649016</v>
      </c>
      <c r="G387" s="60">
        <f>L372/([3]NA88_AGE_SEXE!$D$2062+[3]NA88_AGE_SEXE!$D$2064)*1000</f>
        <v>44.242873009996295</v>
      </c>
      <c r="H387" s="61">
        <f>N372/([3]NA88_AGE_SEXE!$D$2062+[3]NA88_AGE_SEXE!$D$2063+[3]NA88_AGE_SEXE!$D$2064+[3]NA88_AGE_SEXE!$D$2065)*1000</f>
        <v>32.497653100668174</v>
      </c>
      <c r="I387" s="59">
        <f>G372/[1]ARA_eff_age_2016!$D529*1000000</f>
        <v>40.111769487945374</v>
      </c>
      <c r="J387" s="60">
        <f>H372/[1]ARA_eff_age_2016!$B529*1000000</f>
        <v>38.357581220366896</v>
      </c>
      <c r="K387" s="61">
        <f>I372/[1]ARA_eff_age_2016!$F529*1000000</f>
        <v>39.743849869925732</v>
      </c>
      <c r="L387" s="59">
        <v>36.388833289522687</v>
      </c>
      <c r="M387" s="60">
        <v>29.159275134482318</v>
      </c>
      <c r="N387" s="61">
        <v>36.4</v>
      </c>
      <c r="P387" s="62"/>
      <c r="Q387" s="62"/>
      <c r="R387" s="62"/>
    </row>
    <row r="388" spans="2:18" x14ac:dyDescent="0.25">
      <c r="B388" s="26" t="s">
        <v>14</v>
      </c>
      <c r="C388" s="59">
        <v>25.4</v>
      </c>
      <c r="D388" s="60">
        <v>39.6</v>
      </c>
      <c r="E388" s="61">
        <v>27.1</v>
      </c>
      <c r="F388" s="59">
        <f>J373/([3]NA88_AGE_SEXE!$D$2067+[3]NA88_AGE_SEXE!$D$2069)*1000</f>
        <v>28.710817024617285</v>
      </c>
      <c r="G388" s="60">
        <f>L373/([3]NA88_AGE_SEXE!$D$2066+[3]NA88_AGE_SEXE!$D$2068)*1000</f>
        <v>43.572555205047315</v>
      </c>
      <c r="H388" s="61">
        <f>N373/([3]NA88_AGE_SEXE!$D$2066+[3]NA88_AGE_SEXE!$D$2067+[3]NA88_AGE_SEXE!$D$2068+[3]NA88_AGE_SEXE!$D$2069)*1000</f>
        <v>30.561146840787472</v>
      </c>
      <c r="I388" s="59">
        <f>G373/[1]ARA_eff_age_2016!$D530*1000000</f>
        <v>37.919197997158086</v>
      </c>
      <c r="J388" s="60">
        <f>H373/[1]ARA_eff_age_2016!$B530*1000000</f>
        <v>33.889164808709815</v>
      </c>
      <c r="K388" s="61">
        <f>I373/[1]ARA_eff_age_2016!$F530*1000000</f>
        <v>37.130443306975891</v>
      </c>
      <c r="L388" s="59">
        <v>37.716614146552807</v>
      </c>
      <c r="M388" s="60">
        <v>27.953097795375516</v>
      </c>
      <c r="N388" s="61">
        <v>37.700000000000003</v>
      </c>
      <c r="P388" s="62"/>
      <c r="Q388" s="62"/>
      <c r="R388" s="62"/>
    </row>
    <row r="389" spans="2:18" ht="15.75" thickBot="1" x14ac:dyDescent="0.3">
      <c r="B389" s="36" t="s">
        <v>15</v>
      </c>
      <c r="C389" s="63">
        <v>14.5</v>
      </c>
      <c r="D389" s="64">
        <v>14.6</v>
      </c>
      <c r="E389" s="65">
        <v>14.5</v>
      </c>
      <c r="F389" s="63">
        <f>J374/([3]NA88_AGE_SEXE!$D$2071+[3]NA88_AGE_SEXE!$D$2073)*1000</f>
        <v>22.047244094488189</v>
      </c>
      <c r="G389" s="64">
        <f>L374/([3]NA88_AGE_SEXE!$D$2070+[3]NA88_AGE_SEXE!$D$2072)*1000</f>
        <v>33.739456419868795</v>
      </c>
      <c r="H389" s="65">
        <f>N374/([3]NA88_AGE_SEXE!$D$2070+[3]NA88_AGE_SEXE!$D$2071+[3]NA88_AGE_SEXE!$D$2072+[3]NA88_AGE_SEXE!$D$2073)*1000</f>
        <v>23.225075528700906</v>
      </c>
      <c r="I389" s="63">
        <f>G374/[1]ARA_eff_age_2016!$D531*1000000</f>
        <v>30.460125336659154</v>
      </c>
      <c r="J389" s="64">
        <f>H374/[1]ARA_eff_age_2016!$B531*1000000</f>
        <v>19.066471550989299</v>
      </c>
      <c r="K389" s="65">
        <f>I374/[1]ARA_eff_age_2016!$F531*1000000</f>
        <v>28.311756055244235</v>
      </c>
      <c r="L389" s="63">
        <v>33.685164595122615</v>
      </c>
      <c r="M389" s="64">
        <v>26.017570007696634</v>
      </c>
      <c r="N389" s="65">
        <v>33.700000000000003</v>
      </c>
      <c r="P389" s="62"/>
      <c r="Q389" s="62"/>
      <c r="R389" s="62"/>
    </row>
    <row r="390" spans="2:18" x14ac:dyDescent="0.25">
      <c r="B390" s="44" t="s">
        <v>87</v>
      </c>
      <c r="C390" s="101"/>
      <c r="D390" s="101"/>
      <c r="E390" s="101"/>
      <c r="F390" s="101"/>
      <c r="G390" s="46"/>
      <c r="H390" s="46"/>
      <c r="I390" s="46"/>
      <c r="J390" s="46"/>
      <c r="K390" s="46"/>
      <c r="L390" s="107"/>
      <c r="M390" s="107"/>
      <c r="N390" s="107"/>
    </row>
    <row r="391" spans="2:18" ht="14.45" customHeight="1" x14ac:dyDescent="0.25">
      <c r="B391" s="133" t="s">
        <v>88</v>
      </c>
      <c r="C391" s="133"/>
      <c r="D391" s="133"/>
      <c r="E391" s="133"/>
      <c r="F391" s="133"/>
      <c r="G391" s="133"/>
      <c r="H391" s="133"/>
      <c r="I391" s="133"/>
      <c r="J391" s="133"/>
      <c r="K391" s="120"/>
      <c r="L391" s="107"/>
      <c r="M391" s="107"/>
      <c r="N391" s="107"/>
    </row>
    <row r="392" spans="2:18" x14ac:dyDescent="0.25">
      <c r="B392" s="113" t="s">
        <v>60</v>
      </c>
      <c r="C392" s="48"/>
      <c r="D392" s="48"/>
      <c r="E392" s="48"/>
      <c r="F392" s="48"/>
      <c r="G392" s="48"/>
      <c r="H392" s="48"/>
      <c r="I392" s="48"/>
      <c r="J392" s="48"/>
      <c r="K392" s="48"/>
    </row>
    <row r="393" spans="2:18" x14ac:dyDescent="0.25">
      <c r="B393" s="66"/>
    </row>
    <row r="394" spans="2:18" ht="20.100000000000001" customHeight="1" thickBot="1" x14ac:dyDescent="0.3">
      <c r="B394" s="132" t="s">
        <v>26</v>
      </c>
      <c r="C394" s="132"/>
      <c r="D394" s="132"/>
      <c r="E394" s="132"/>
      <c r="F394" s="132"/>
      <c r="G394" s="132"/>
      <c r="H394" s="132"/>
      <c r="I394" s="132"/>
      <c r="J394" s="132"/>
      <c r="K394" s="132"/>
      <c r="L394" s="132"/>
      <c r="M394" s="132"/>
      <c r="N394" s="132"/>
    </row>
    <row r="395" spans="2:18" ht="42.75" customHeight="1" x14ac:dyDescent="0.25">
      <c r="B395" s="49"/>
      <c r="C395" s="67" t="s">
        <v>19</v>
      </c>
      <c r="D395" s="68"/>
      <c r="E395" s="68"/>
      <c r="F395" s="68"/>
      <c r="G395" s="69"/>
      <c r="H395" s="68"/>
      <c r="I395" s="67" t="s">
        <v>20</v>
      </c>
      <c r="J395" s="68"/>
      <c r="K395" s="68"/>
      <c r="L395" s="68"/>
      <c r="M395" s="69"/>
      <c r="N395" s="69"/>
    </row>
    <row r="396" spans="2:18" x14ac:dyDescent="0.25">
      <c r="B396" s="53"/>
      <c r="C396" s="9">
        <v>2016</v>
      </c>
      <c r="D396" s="9"/>
      <c r="E396" s="9"/>
      <c r="F396" s="10">
        <v>2019</v>
      </c>
      <c r="G396" s="10"/>
      <c r="H396" s="10"/>
      <c r="I396" s="9">
        <v>2016</v>
      </c>
      <c r="J396" s="9"/>
      <c r="K396" s="9"/>
      <c r="L396" s="10">
        <v>2019</v>
      </c>
      <c r="M396" s="10"/>
      <c r="N396" s="10"/>
    </row>
    <row r="397" spans="2:18" ht="15.75" thickBot="1" x14ac:dyDescent="0.3">
      <c r="B397" s="54"/>
      <c r="C397" s="14" t="s">
        <v>7</v>
      </c>
      <c r="D397" s="15" t="s">
        <v>8</v>
      </c>
      <c r="E397" s="16" t="s">
        <v>9</v>
      </c>
      <c r="F397" s="55" t="s">
        <v>7</v>
      </c>
      <c r="G397" s="55" t="s">
        <v>8</v>
      </c>
      <c r="H397" s="17" t="s">
        <v>9</v>
      </c>
      <c r="I397" s="14" t="s">
        <v>7</v>
      </c>
      <c r="J397" s="15" t="s">
        <v>8</v>
      </c>
      <c r="K397" s="16" t="s">
        <v>9</v>
      </c>
      <c r="L397" s="55" t="s">
        <v>7</v>
      </c>
      <c r="M397" s="55" t="s">
        <v>8</v>
      </c>
      <c r="N397" s="17" t="s">
        <v>9</v>
      </c>
    </row>
    <row r="398" spans="2:18" ht="15.75" thickBot="1" x14ac:dyDescent="0.3">
      <c r="B398" s="18"/>
      <c r="C398" s="56">
        <v>3.4</v>
      </c>
      <c r="D398" s="57">
        <v>2.5</v>
      </c>
      <c r="E398" s="57">
        <v>3.2</v>
      </c>
      <c r="F398" s="56">
        <v>3.7</v>
      </c>
      <c r="G398" s="57">
        <v>1.5</v>
      </c>
      <c r="H398" s="58">
        <v>3.2</v>
      </c>
      <c r="I398" s="56">
        <f>[1]ARA_eff_age_2016!$G$272/[1]ARA_eff_age_2016!$D$532*1000000</f>
        <v>20.585476350281265</v>
      </c>
      <c r="J398" s="57">
        <f>[1]ARA_eff_age_2016!$F$272/[1]ARA_eff_age_2016!$B$532*1000000</f>
        <v>20.938966761956976</v>
      </c>
      <c r="K398" s="58">
        <f>[1]ARA_eff_age_2016!$H$272/[1]ARA_eff_age_2016!$F$532*1000000</f>
        <v>20.655640305114428</v>
      </c>
      <c r="L398" s="57">
        <f>[2]ARA_eff_age_2019!$G$272/[2]ARA_eff_age_2019!$D$532*1000000</f>
        <v>22.734505404827246</v>
      </c>
      <c r="M398" s="57">
        <f>[2]ARA_eff_age_2019!$F$272/[2]ARA_eff_age_2019!$B$532*1000000</f>
        <v>12.96062130785127</v>
      </c>
      <c r="N398" s="58">
        <f>[2]ARA_eff_age_2019!$H$272/[2]ARA_eff_age_2019!$F$532*1000000</f>
        <v>20.415124051143952</v>
      </c>
      <c r="P398" s="62"/>
      <c r="Q398" s="62"/>
      <c r="R398" s="62"/>
    </row>
    <row r="399" spans="2:18" x14ac:dyDescent="0.25">
      <c r="B399" s="26" t="s">
        <v>10</v>
      </c>
      <c r="C399" s="59">
        <v>2.5</v>
      </c>
      <c r="D399" s="60">
        <v>4.3</v>
      </c>
      <c r="E399" s="60">
        <v>2.9</v>
      </c>
      <c r="F399" s="59">
        <v>3.1</v>
      </c>
      <c r="G399" s="60">
        <v>0.7</v>
      </c>
      <c r="H399" s="60">
        <v>2.6</v>
      </c>
      <c r="I399" s="59">
        <f>[1]ARA_eff_age_2016!$G$265/[1]ARA_eff_age_2016!$D$525*1000000</f>
        <v>0</v>
      </c>
      <c r="J399" s="60">
        <f>[1]ARA_eff_age_2016!$F$265/[1]ARA_eff_age_2016!$B$525*1000000</f>
        <v>75.555677665741683</v>
      </c>
      <c r="K399" s="60">
        <f>[1]ARA_eff_age_2016!$H$265/[1]ARA_eff_age_2016!$F$525*1000000</f>
        <v>15.425173883778326</v>
      </c>
      <c r="L399" s="59">
        <f>[2]ARA_eff_age_2019!$G$265/[2]ARA_eff_age_2019!$D$525*1000000</f>
        <v>0</v>
      </c>
      <c r="M399" s="60">
        <f>[2]ARA_eff_age_2019!$F$265/[2]ARA_eff_age_2019!$B$525*1000000</f>
        <v>0</v>
      </c>
      <c r="N399" s="61">
        <f>[2]ARA_eff_age_2019!$H265/[2]ARA_eff_age_2019!$F525*1000000</f>
        <v>0</v>
      </c>
      <c r="P399" s="62"/>
      <c r="Q399" s="62"/>
      <c r="R399" s="62"/>
    </row>
    <row r="400" spans="2:18" x14ac:dyDescent="0.25">
      <c r="B400" s="26" t="s">
        <v>11</v>
      </c>
      <c r="C400" s="59">
        <v>2.8307864359718296</v>
      </c>
      <c r="D400" s="60">
        <v>2.4930386813695762</v>
      </c>
      <c r="E400" s="61">
        <v>2.7703811432577958</v>
      </c>
      <c r="F400" s="59">
        <v>3.142175800766541</v>
      </c>
      <c r="G400" s="60">
        <v>0.96786928627049129</v>
      </c>
      <c r="H400" s="60">
        <v>2.6213232158898596</v>
      </c>
      <c r="I400" s="59">
        <f>[1]ARA_eff_age_2016!$G267/[1]ARA_eff_age_2016!$D527*1000000</f>
        <v>9.1702526175339809</v>
      </c>
      <c r="J400" s="60">
        <f>[1]ARA_eff_age_2016!$F267/[1]ARA_eff_age_2016!$B527*1000000</f>
        <v>9.1764983399984388</v>
      </c>
      <c r="K400" s="60">
        <f>[1]ARA_eff_age_2016!$H267/[1]ARA_eff_age_2016!$F527*1000000</f>
        <v>9.1713696484816758</v>
      </c>
      <c r="L400" s="59">
        <f>[2]ARA_eff_age_2019!$G267/[2]ARA_eff_age_2019!$D527*1000000</f>
        <v>9.0987048553558694</v>
      </c>
      <c r="M400" s="60">
        <f>[2]ARA_eff_age_2019!$F267/[2]ARA_eff_age_2019!$B527*1000000</f>
        <v>1.7091105178712542</v>
      </c>
      <c r="N400" s="61">
        <f>[2]ARA_eff_age_2019!$H267/[2]ARA_eff_age_2019!$F527*1000000</f>
        <v>7.3285361636320134</v>
      </c>
      <c r="P400" s="62"/>
      <c r="Q400" s="62"/>
      <c r="R400" s="62"/>
    </row>
    <row r="401" spans="2:18" x14ac:dyDescent="0.25">
      <c r="B401" s="26" t="s">
        <v>12</v>
      </c>
      <c r="C401" s="59">
        <v>3.1096234072707865</v>
      </c>
      <c r="D401" s="60">
        <v>2.5973173779524803</v>
      </c>
      <c r="E401" s="61">
        <v>3.0030738869508009</v>
      </c>
      <c r="F401" s="59">
        <v>3.3305684798493971</v>
      </c>
      <c r="G401" s="60">
        <v>1.4201736800175468</v>
      </c>
      <c r="H401" s="60">
        <v>2.8536948023159305</v>
      </c>
      <c r="I401" s="59">
        <f>[1]ARA_eff_age_2016!$G268/[1]ARA_eff_age_2016!$D528*1000000</f>
        <v>8.3349534179235807</v>
      </c>
      <c r="J401" s="60">
        <f>[1]ARA_eff_age_2016!$F268/[1]ARA_eff_age_2016!$B528*1000000</f>
        <v>15.669483755920293</v>
      </c>
      <c r="K401" s="60">
        <f>[1]ARA_eff_age_2016!$H268/[1]ARA_eff_age_2016!$F528*1000000</f>
        <v>9.8603906479037988</v>
      </c>
      <c r="L401" s="59">
        <f>[2]ARA_eff_age_2019!$G268/[2]ARA_eff_age_2019!$D528*1000000</f>
        <v>13.615318849510425</v>
      </c>
      <c r="M401" s="60">
        <f>[2]ARA_eff_age_2019!$F268/[2]ARA_eff_age_2019!$B528*1000000</f>
        <v>2.8460394389129196</v>
      </c>
      <c r="N401" s="61">
        <f>[2]ARA_eff_age_2019!$H268/[2]ARA_eff_age_2019!$F528*1000000</f>
        <v>10.927086095791475</v>
      </c>
      <c r="P401" s="62"/>
      <c r="Q401" s="62"/>
      <c r="R401" s="62"/>
    </row>
    <row r="402" spans="2:18" x14ac:dyDescent="0.25">
      <c r="B402" s="26" t="s">
        <v>13</v>
      </c>
      <c r="C402" s="59">
        <v>3.8608665744675172</v>
      </c>
      <c r="D402" s="60">
        <v>2.1178630314835059</v>
      </c>
      <c r="E402" s="61">
        <v>3.4952928162948407</v>
      </c>
      <c r="F402" s="59">
        <v>4.2075408070804379</v>
      </c>
      <c r="G402" s="60">
        <v>1.7254291432452746</v>
      </c>
      <c r="H402" s="60">
        <v>3.5940112105205957</v>
      </c>
      <c r="I402" s="59">
        <f>[1]ARA_eff_age_2016!$G269/[1]ARA_eff_age_2016!$D529*1000000</f>
        <v>24.580422733936157</v>
      </c>
      <c r="J402" s="60">
        <f>[1]ARA_eff_age_2016!$F269/[1]ARA_eff_age_2016!$B529*1000000</f>
        <v>17.375656450251672</v>
      </c>
      <c r="K402" s="60">
        <f>[1]ARA_eff_age_2016!$H269/[1]ARA_eff_age_2016!$F529*1000000</f>
        <v>23.069310780899801</v>
      </c>
      <c r="L402" s="59">
        <f>[2]ARA_eff_age_2019!$G269/[2]ARA_eff_age_2019!$D529*1000000</f>
        <v>33.890783772033643</v>
      </c>
      <c r="M402" s="60">
        <f>[2]ARA_eff_age_2019!$F269/[2]ARA_eff_age_2019!$B529*1000000</f>
        <v>7.9994471607871862</v>
      </c>
      <c r="N402" s="61">
        <f>[2]ARA_eff_age_2019!$H269/[2]ARA_eff_age_2019!$F529*1000000</f>
        <v>27.49095030286464</v>
      </c>
      <c r="P402" s="62"/>
      <c r="Q402" s="62"/>
      <c r="R402" s="62"/>
    </row>
    <row r="403" spans="2:18" x14ac:dyDescent="0.25">
      <c r="B403" s="26" t="s">
        <v>14</v>
      </c>
      <c r="C403" s="59">
        <v>3.7300686618927781</v>
      </c>
      <c r="D403" s="60">
        <v>2.9314127559533993</v>
      </c>
      <c r="E403" s="61">
        <v>3.5737564026596926</v>
      </c>
      <c r="F403" s="59">
        <v>4.131732657156534</v>
      </c>
      <c r="G403" s="60">
        <v>1.7448057423894392</v>
      </c>
      <c r="H403" s="60">
        <v>3.5910980258344787</v>
      </c>
      <c r="I403" s="59">
        <f>[1]ARA_eff_age_2016!$G270/[1]ARA_eff_age_2016!$D530*1000000</f>
        <v>34.28089541747341</v>
      </c>
      <c r="J403" s="60">
        <f>[1]ARA_eff_age_2016!$F270/[1]ARA_eff_age_2016!$B530*1000000</f>
        <v>32.061807882749974</v>
      </c>
      <c r="K403" s="60">
        <f>[1]ARA_eff_age_2016!$H270/[1]ARA_eff_age_2016!$F530*1000000</f>
        <v>33.846577480351932</v>
      </c>
      <c r="L403" s="59">
        <f>[2]ARA_eff_age_2019!$G270/[2]ARA_eff_age_2019!$D530*1000000</f>
        <v>28.921310049906566</v>
      </c>
      <c r="M403" s="60">
        <f>[2]ARA_eff_age_2019!$F270/[2]ARA_eff_age_2019!$B530*1000000</f>
        <v>34.342377291461347</v>
      </c>
      <c r="N403" s="61">
        <f>[2]ARA_eff_age_2019!$H270/[2]ARA_eff_age_2019!$F530*1000000</f>
        <v>30.149171979658515</v>
      </c>
      <c r="P403" s="62"/>
      <c r="Q403" s="62"/>
      <c r="R403" s="62"/>
    </row>
    <row r="404" spans="2:18" ht="15.75" thickBot="1" x14ac:dyDescent="0.3">
      <c r="B404" s="36" t="s">
        <v>15</v>
      </c>
      <c r="C404" s="63">
        <v>2.8488524496686303</v>
      </c>
      <c r="D404" s="64">
        <v>1.6754661875431849</v>
      </c>
      <c r="E404" s="65">
        <v>2.6276005976986201</v>
      </c>
      <c r="F404" s="63">
        <v>3.3138805710129153</v>
      </c>
      <c r="G404" s="64">
        <v>1.5001350121510937</v>
      </c>
      <c r="H404" s="64">
        <v>2.9612097623382696</v>
      </c>
      <c r="I404" s="63">
        <f>[1]ARA_eff_age_2016!$G271/[1]ARA_eff_age_2016!$D531*1000000</f>
        <v>21.968211606439024</v>
      </c>
      <c r="J404" s="64">
        <f>[1]ARA_eff_age_2016!$F271/[1]ARA_eff_age_2016!$B531*1000000</f>
        <v>34.160761528855829</v>
      </c>
      <c r="K404" s="65">
        <f>[1]ARA_eff_age_2016!$H271/[1]ARA_eff_age_2016!$F531*1000000</f>
        <v>24.267219475923632</v>
      </c>
      <c r="L404" s="63">
        <f>[2]ARA_eff_age_2019!$G271/[2]ARA_eff_age_2019!$D531*1000000</f>
        <v>30.174923618652386</v>
      </c>
      <c r="M404" s="64">
        <f>[2]ARA_eff_age_2019!$F271/[2]ARA_eff_age_2019!$B531*1000000</f>
        <v>26.017570007696634</v>
      </c>
      <c r="N404" s="65">
        <f>[2]ARA_eff_age_2019!$H271/[2]ARA_eff_age_2019!$F531*1000000</f>
        <v>29.366553749594075</v>
      </c>
      <c r="P404" s="62"/>
      <c r="Q404" s="62"/>
      <c r="R404" s="62"/>
    </row>
    <row r="405" spans="2:18" x14ac:dyDescent="0.25">
      <c r="B405" s="44" t="s">
        <v>87</v>
      </c>
      <c r="C405" s="101"/>
      <c r="D405" s="101"/>
      <c r="E405" s="101"/>
      <c r="F405" s="101"/>
      <c r="G405" s="46"/>
      <c r="H405" s="46"/>
      <c r="I405" s="46"/>
      <c r="J405" s="46"/>
      <c r="K405" s="46"/>
      <c r="L405" s="107"/>
      <c r="M405" s="107"/>
      <c r="N405" s="107"/>
    </row>
    <row r="406" spans="2:18" ht="14.45" customHeight="1" x14ac:dyDescent="0.25">
      <c r="B406" s="133" t="s">
        <v>88</v>
      </c>
      <c r="C406" s="133"/>
      <c r="D406" s="133"/>
      <c r="E406" s="133"/>
      <c r="F406" s="133"/>
      <c r="G406" s="133"/>
      <c r="H406" s="133"/>
      <c r="I406" s="133"/>
      <c r="J406" s="133"/>
      <c r="K406" s="120"/>
      <c r="L406" s="107"/>
      <c r="M406" s="107"/>
      <c r="N406" s="107"/>
    </row>
    <row r="407" spans="2:18" x14ac:dyDescent="0.25">
      <c r="B407" s="47" t="s">
        <v>61</v>
      </c>
      <c r="C407" s="48"/>
      <c r="D407" s="48"/>
      <c r="E407" s="48"/>
      <c r="F407" s="48"/>
      <c r="G407" s="48"/>
      <c r="H407" s="48"/>
      <c r="I407" s="48"/>
      <c r="J407" s="48"/>
      <c r="K407" s="48"/>
    </row>
    <row r="408" spans="2:18" ht="15.75" thickBot="1" x14ac:dyDescent="0.3"/>
    <row r="409" spans="2:18" ht="15" customHeight="1" thickTop="1" x14ac:dyDescent="0.25">
      <c r="B409" s="207" t="s">
        <v>82</v>
      </c>
      <c r="C409" s="208"/>
      <c r="D409" s="208"/>
      <c r="E409" s="208"/>
      <c r="F409" s="208"/>
      <c r="G409" s="209"/>
    </row>
    <row r="410" spans="2:18" x14ac:dyDescent="0.25">
      <c r="B410" s="210"/>
      <c r="C410" s="139"/>
      <c r="D410" s="139"/>
      <c r="E410" s="139"/>
      <c r="F410" s="139"/>
      <c r="G410" s="140"/>
    </row>
    <row r="411" spans="2:18" x14ac:dyDescent="0.25">
      <c r="B411" s="210"/>
      <c r="C411" s="139"/>
      <c r="D411" s="139"/>
      <c r="E411" s="139"/>
      <c r="F411" s="139"/>
      <c r="G411" s="140"/>
    </row>
    <row r="412" spans="2:18" x14ac:dyDescent="0.25">
      <c r="B412" s="210"/>
      <c r="C412" s="139"/>
      <c r="D412" s="139"/>
      <c r="E412" s="139"/>
      <c r="F412" s="139"/>
      <c r="G412" s="140"/>
    </row>
    <row r="413" spans="2:18" x14ac:dyDescent="0.25">
      <c r="B413" s="210"/>
      <c r="C413" s="139"/>
      <c r="D413" s="139"/>
      <c r="E413" s="139"/>
      <c r="F413" s="139"/>
      <c r="G413" s="140"/>
    </row>
    <row r="414" spans="2:18" x14ac:dyDescent="0.25">
      <c r="B414" s="210"/>
      <c r="C414" s="139"/>
      <c r="D414" s="139"/>
      <c r="E414" s="139"/>
      <c r="F414" s="139"/>
      <c r="G414" s="140"/>
    </row>
    <row r="415" spans="2:18" x14ac:dyDescent="0.25">
      <c r="B415" s="210"/>
      <c r="C415" s="139"/>
      <c r="D415" s="139"/>
      <c r="E415" s="139"/>
      <c r="F415" s="139"/>
      <c r="G415" s="140"/>
    </row>
    <row r="416" spans="2:18" x14ac:dyDescent="0.25">
      <c r="B416" s="210"/>
      <c r="C416" s="139"/>
      <c r="D416" s="139"/>
      <c r="E416" s="139"/>
      <c r="F416" s="139"/>
      <c r="G416" s="140"/>
    </row>
    <row r="417" spans="2:7" x14ac:dyDescent="0.25">
      <c r="B417" s="210"/>
      <c r="C417" s="139"/>
      <c r="D417" s="139"/>
      <c r="E417" s="139"/>
      <c r="F417" s="139"/>
      <c r="G417" s="140"/>
    </row>
    <row r="418" spans="2:7" x14ac:dyDescent="0.25">
      <c r="B418" s="210"/>
      <c r="C418" s="139"/>
      <c r="D418" s="139"/>
      <c r="E418" s="139"/>
      <c r="F418" s="139"/>
      <c r="G418" s="140"/>
    </row>
    <row r="419" spans="2:7" x14ac:dyDescent="0.25">
      <c r="B419" s="210"/>
      <c r="C419" s="139"/>
      <c r="D419" s="139"/>
      <c r="E419" s="139"/>
      <c r="F419" s="139"/>
      <c r="G419" s="140"/>
    </row>
    <row r="420" spans="2:7" x14ac:dyDescent="0.25">
      <c r="B420" s="210"/>
      <c r="C420" s="139"/>
      <c r="D420" s="139"/>
      <c r="E420" s="139"/>
      <c r="F420" s="139"/>
      <c r="G420" s="140"/>
    </row>
    <row r="421" spans="2:7" x14ac:dyDescent="0.25">
      <c r="B421" s="210"/>
      <c r="C421" s="139"/>
      <c r="D421" s="139"/>
      <c r="E421" s="139"/>
      <c r="F421" s="139"/>
      <c r="G421" s="140"/>
    </row>
    <row r="422" spans="2:7" x14ac:dyDescent="0.25">
      <c r="B422" s="210"/>
      <c r="C422" s="139"/>
      <c r="D422" s="139"/>
      <c r="E422" s="139"/>
      <c r="F422" s="139"/>
      <c r="G422" s="140"/>
    </row>
    <row r="423" spans="2:7" x14ac:dyDescent="0.25">
      <c r="B423" s="210"/>
      <c r="C423" s="139"/>
      <c r="D423" s="139"/>
      <c r="E423" s="139"/>
      <c r="F423" s="139"/>
      <c r="G423" s="140"/>
    </row>
    <row r="424" spans="2:7" x14ac:dyDescent="0.25">
      <c r="B424" s="210"/>
      <c r="C424" s="139"/>
      <c r="D424" s="139"/>
      <c r="E424" s="139"/>
      <c r="F424" s="139"/>
      <c r="G424" s="140"/>
    </row>
    <row r="425" spans="2:7" x14ac:dyDescent="0.25">
      <c r="B425" s="210"/>
      <c r="C425" s="139"/>
      <c r="D425" s="139"/>
      <c r="E425" s="139"/>
      <c r="F425" s="139"/>
      <c r="G425" s="140"/>
    </row>
    <row r="426" spans="2:7" x14ac:dyDescent="0.25">
      <c r="B426" s="210"/>
      <c r="C426" s="139"/>
      <c r="D426" s="139"/>
      <c r="E426" s="139"/>
      <c r="F426" s="139"/>
      <c r="G426" s="140"/>
    </row>
    <row r="427" spans="2:7" x14ac:dyDescent="0.25">
      <c r="B427" s="210"/>
      <c r="C427" s="139"/>
      <c r="D427" s="139"/>
      <c r="E427" s="139"/>
      <c r="F427" s="139"/>
      <c r="G427" s="140"/>
    </row>
    <row r="428" spans="2:7" x14ac:dyDescent="0.25">
      <c r="B428" s="210"/>
      <c r="C428" s="139"/>
      <c r="D428" s="139"/>
      <c r="E428" s="139"/>
      <c r="F428" s="139"/>
      <c r="G428" s="140"/>
    </row>
    <row r="429" spans="2:7" x14ac:dyDescent="0.25">
      <c r="B429" s="210"/>
      <c r="C429" s="139"/>
      <c r="D429" s="139"/>
      <c r="E429" s="139"/>
      <c r="F429" s="139"/>
      <c r="G429" s="140"/>
    </row>
    <row r="430" spans="2:7" x14ac:dyDescent="0.25">
      <c r="B430" s="210"/>
      <c r="C430" s="139"/>
      <c r="D430" s="139"/>
      <c r="E430" s="139"/>
      <c r="F430" s="139"/>
      <c r="G430" s="140"/>
    </row>
    <row r="431" spans="2:7" x14ac:dyDescent="0.25">
      <c r="B431" s="210"/>
      <c r="C431" s="139"/>
      <c r="D431" s="139"/>
      <c r="E431" s="139"/>
      <c r="F431" s="139"/>
      <c r="G431" s="140"/>
    </row>
    <row r="432" spans="2:7" x14ac:dyDescent="0.25">
      <c r="B432" s="210"/>
      <c r="C432" s="139"/>
      <c r="D432" s="139"/>
      <c r="E432" s="139"/>
      <c r="F432" s="139"/>
      <c r="G432" s="140"/>
    </row>
    <row r="433" spans="2:14" ht="15.75" thickBot="1" x14ac:dyDescent="0.3">
      <c r="B433" s="211"/>
      <c r="C433" s="142"/>
      <c r="D433" s="142"/>
      <c r="E433" s="142"/>
      <c r="F433" s="142"/>
      <c r="G433" s="143"/>
    </row>
    <row r="434" spans="2:14" ht="15.75" thickTop="1" x14ac:dyDescent="0.25"/>
    <row r="435" spans="2:14" x14ac:dyDescent="0.25">
      <c r="B435" s="2"/>
    </row>
    <row r="436" spans="2:14" ht="9.75" customHeight="1" x14ac:dyDescent="0.25">
      <c r="B436" s="2"/>
    </row>
    <row r="437" spans="2:14" x14ac:dyDescent="0.25">
      <c r="B437" s="3" t="s">
        <v>29</v>
      </c>
      <c r="C437" s="4"/>
      <c r="D437" s="4"/>
      <c r="E437" s="4"/>
    </row>
    <row r="438" spans="2:14" ht="15.75" customHeight="1" x14ac:dyDescent="0.25">
      <c r="B438" s="2"/>
    </row>
    <row r="439" spans="2:14" ht="20.100000000000001" customHeight="1" thickBot="1" x14ac:dyDescent="0.3">
      <c r="B439" s="134" t="s">
        <v>30</v>
      </c>
      <c r="C439" s="134"/>
      <c r="D439" s="134"/>
      <c r="E439" s="134"/>
      <c r="F439" s="134"/>
      <c r="G439" s="134"/>
      <c r="H439" s="134"/>
      <c r="I439" s="134"/>
      <c r="J439" s="134"/>
      <c r="K439" s="134"/>
      <c r="L439" s="134"/>
      <c r="M439" s="134"/>
      <c r="N439" s="134"/>
    </row>
    <row r="440" spans="2:14" ht="15.75" customHeight="1" thickBot="1" x14ac:dyDescent="0.3">
      <c r="C440" s="144" t="s">
        <v>39</v>
      </c>
      <c r="D440" s="145"/>
      <c r="E440" s="145"/>
      <c r="F440" s="146"/>
      <c r="G440" s="5" t="s">
        <v>4</v>
      </c>
      <c r="H440" s="6"/>
      <c r="I440" s="6"/>
      <c r="J440" s="6"/>
      <c r="K440" s="6"/>
      <c r="L440" s="7"/>
      <c r="M440" s="7"/>
      <c r="N440" s="8"/>
    </row>
    <row r="441" spans="2:14" ht="15" customHeight="1" x14ac:dyDescent="0.25">
      <c r="B441" s="147"/>
      <c r="C441" s="149" t="s">
        <v>5</v>
      </c>
      <c r="D441" s="150"/>
      <c r="E441" s="150" t="s">
        <v>6</v>
      </c>
      <c r="F441" s="151"/>
      <c r="G441" s="9">
        <v>2016</v>
      </c>
      <c r="H441" s="9"/>
      <c r="I441" s="9"/>
      <c r="J441" s="10">
        <v>2019</v>
      </c>
      <c r="K441" s="10"/>
      <c r="L441" s="10"/>
      <c r="M441" s="10"/>
      <c r="N441" s="10"/>
    </row>
    <row r="442" spans="2:14" ht="15.75" thickBot="1" x14ac:dyDescent="0.3">
      <c r="B442" s="148"/>
      <c r="C442" s="11" t="s">
        <v>7</v>
      </c>
      <c r="D442" s="12" t="s">
        <v>8</v>
      </c>
      <c r="E442" s="12" t="s">
        <v>7</v>
      </c>
      <c r="F442" s="13" t="s">
        <v>8</v>
      </c>
      <c r="G442" s="14" t="s">
        <v>7</v>
      </c>
      <c r="H442" s="15" t="s">
        <v>8</v>
      </c>
      <c r="I442" s="16" t="s">
        <v>9</v>
      </c>
      <c r="J442" s="90" t="s">
        <v>7</v>
      </c>
      <c r="K442" s="91"/>
      <c r="L442" s="92" t="s">
        <v>8</v>
      </c>
      <c r="M442" s="92"/>
      <c r="N442" s="17" t="s">
        <v>9</v>
      </c>
    </row>
    <row r="443" spans="2:14" ht="15.75" thickBot="1" x14ac:dyDescent="0.3">
      <c r="B443" s="18"/>
      <c r="C443" s="19">
        <v>0.2</v>
      </c>
      <c r="D443" s="20">
        <v>0.8</v>
      </c>
      <c r="E443" s="19">
        <v>1</v>
      </c>
      <c r="F443" s="20">
        <v>1</v>
      </c>
      <c r="G443" s="21">
        <f>SUM(G444:G448)</f>
        <v>564</v>
      </c>
      <c r="H443" s="22">
        <f>SUM(H444:H448)</f>
        <v>4908</v>
      </c>
      <c r="I443" s="23">
        <f>SUM(I444:I448)</f>
        <v>5472</v>
      </c>
      <c r="J443" s="21">
        <f>SUM(J444:J448)</f>
        <v>630</v>
      </c>
      <c r="K443" s="24">
        <v>1</v>
      </c>
      <c r="L443" s="25">
        <f>SUM(L444:L448)</f>
        <v>5211</v>
      </c>
      <c r="M443" s="24">
        <v>1</v>
      </c>
      <c r="N443" s="23">
        <f t="shared" ref="N443:N448" si="22">J443+L443</f>
        <v>5841</v>
      </c>
    </row>
    <row r="444" spans="2:14" x14ac:dyDescent="0.25">
      <c r="B444" s="128" t="s">
        <v>96</v>
      </c>
      <c r="C444" s="104">
        <v>0.22</v>
      </c>
      <c r="D444" s="105">
        <v>0.78</v>
      </c>
      <c r="E444" s="99">
        <v>0.17</v>
      </c>
      <c r="F444" s="100">
        <v>0.15</v>
      </c>
      <c r="G444" s="31">
        <v>107</v>
      </c>
      <c r="H444" s="32">
        <v>889</v>
      </c>
      <c r="I444" s="33">
        <v>996</v>
      </c>
      <c r="J444" s="31">
        <v>106</v>
      </c>
      <c r="K444" s="85">
        <f>J444/J443</f>
        <v>0.16825396825396827</v>
      </c>
      <c r="L444" s="32">
        <v>928</v>
      </c>
      <c r="M444" s="83">
        <f>L444/L443</f>
        <v>0.1780848205718672</v>
      </c>
      <c r="N444" s="33">
        <f>J444+L444</f>
        <v>1034</v>
      </c>
    </row>
    <row r="445" spans="2:14" x14ac:dyDescent="0.25">
      <c r="B445" s="26" t="s">
        <v>12</v>
      </c>
      <c r="C445" s="27">
        <v>0.21</v>
      </c>
      <c r="D445" s="28">
        <v>0.79</v>
      </c>
      <c r="E445" s="29">
        <v>0.2499567548866978</v>
      </c>
      <c r="F445" s="30">
        <v>0.22969523239065018</v>
      </c>
      <c r="G445" s="31">
        <f>[1]ARA_eff_age_2016!$C148</f>
        <v>141</v>
      </c>
      <c r="H445" s="32">
        <f>[1]ARA_eff_age_2016!$B148</f>
        <v>1308</v>
      </c>
      <c r="I445" s="33">
        <f t="shared" ref="I445:I448" si="23">G445+H445</f>
        <v>1449</v>
      </c>
      <c r="J445" s="31">
        <v>182</v>
      </c>
      <c r="K445" s="85">
        <f t="shared" ref="K445:K448" si="24">J445/$J$443</f>
        <v>0.28888888888888886</v>
      </c>
      <c r="L445" s="32">
        <v>1407</v>
      </c>
      <c r="M445" s="83">
        <f t="shared" ref="M445:M448" si="25">L445/$L$443</f>
        <v>0.27000575705238916</v>
      </c>
      <c r="N445" s="33">
        <f t="shared" si="22"/>
        <v>1589</v>
      </c>
    </row>
    <row r="446" spans="2:14" x14ac:dyDescent="0.25">
      <c r="B446" s="26" t="s">
        <v>13</v>
      </c>
      <c r="C446" s="27">
        <v>0.19</v>
      </c>
      <c r="D446" s="28">
        <v>0.81</v>
      </c>
      <c r="E446" s="29">
        <v>0.28599434930519518</v>
      </c>
      <c r="F446" s="30">
        <v>0.29380053908355797</v>
      </c>
      <c r="G446" s="31">
        <f>[1]ARA_eff_age_2016!$C149</f>
        <v>172</v>
      </c>
      <c r="H446" s="32">
        <f>[1]ARA_eff_age_2016!$B149</f>
        <v>1408</v>
      </c>
      <c r="I446" s="33">
        <f t="shared" si="23"/>
        <v>1580</v>
      </c>
      <c r="J446" s="31">
        <v>169</v>
      </c>
      <c r="K446" s="85">
        <f t="shared" si="24"/>
        <v>0.26825396825396824</v>
      </c>
      <c r="L446" s="32">
        <v>1329</v>
      </c>
      <c r="M446" s="83">
        <f t="shared" si="25"/>
        <v>0.25503742084052966</v>
      </c>
      <c r="N446" s="33">
        <f t="shared" si="22"/>
        <v>1498</v>
      </c>
    </row>
    <row r="447" spans="2:14" x14ac:dyDescent="0.25">
      <c r="B447" s="26" t="s">
        <v>14</v>
      </c>
      <c r="C447" s="27">
        <v>0.18</v>
      </c>
      <c r="D447" s="28">
        <v>0.82</v>
      </c>
      <c r="E447" s="29">
        <v>0.24834227065674913</v>
      </c>
      <c r="F447" s="30">
        <v>0.28173533564369146</v>
      </c>
      <c r="G447" s="31">
        <f>[1]ARA_eff_age_2016!$C150</f>
        <v>129</v>
      </c>
      <c r="H447" s="32">
        <f>[1]ARA_eff_age_2016!$B150</f>
        <v>1140</v>
      </c>
      <c r="I447" s="33">
        <f t="shared" si="23"/>
        <v>1269</v>
      </c>
      <c r="J447" s="31">
        <v>135</v>
      </c>
      <c r="K447" s="85">
        <f t="shared" si="24"/>
        <v>0.21428571428571427</v>
      </c>
      <c r="L447" s="32">
        <v>1305</v>
      </c>
      <c r="M447" s="83">
        <f t="shared" si="25"/>
        <v>0.25043177892918828</v>
      </c>
      <c r="N447" s="33">
        <f t="shared" si="22"/>
        <v>1440</v>
      </c>
    </row>
    <row r="448" spans="2:14" ht="15.75" thickBot="1" x14ac:dyDescent="0.3">
      <c r="B448" s="36" t="s">
        <v>15</v>
      </c>
      <c r="C448" s="37">
        <v>0.2</v>
      </c>
      <c r="D448" s="38">
        <v>0.8</v>
      </c>
      <c r="E448" s="37">
        <v>4.4744277230006339E-2</v>
      </c>
      <c r="F448" s="38">
        <v>4.4239079279510547E-2</v>
      </c>
      <c r="G448" s="93">
        <f>[1]ARA_eff_age_2016!$C151</f>
        <v>15</v>
      </c>
      <c r="H448" s="94">
        <f>[1]ARA_eff_age_2016!$B151</f>
        <v>163</v>
      </c>
      <c r="I448" s="82">
        <f t="shared" si="23"/>
        <v>178</v>
      </c>
      <c r="J448" s="39">
        <v>38</v>
      </c>
      <c r="K448" s="86">
        <f t="shared" si="24"/>
        <v>6.0317460317460318E-2</v>
      </c>
      <c r="L448" s="40">
        <v>242</v>
      </c>
      <c r="M448" s="84">
        <f t="shared" si="25"/>
        <v>4.6440222606025712E-2</v>
      </c>
      <c r="N448" s="82">
        <f t="shared" si="22"/>
        <v>280</v>
      </c>
    </row>
    <row r="449" spans="2:18" x14ac:dyDescent="0.25">
      <c r="B449" s="44" t="s">
        <v>87</v>
      </c>
      <c r="C449" s="101"/>
      <c r="D449" s="101"/>
      <c r="E449" s="101"/>
      <c r="F449" s="101"/>
      <c r="G449" s="46"/>
      <c r="H449" s="46"/>
      <c r="I449" s="46"/>
      <c r="J449" s="46"/>
      <c r="K449" s="46"/>
      <c r="L449" s="107"/>
      <c r="M449" s="107"/>
      <c r="N449" s="107"/>
    </row>
    <row r="450" spans="2:18" ht="14.45" customHeight="1" x14ac:dyDescent="0.25">
      <c r="B450" s="133" t="s">
        <v>88</v>
      </c>
      <c r="C450" s="133"/>
      <c r="D450" s="133"/>
      <c r="E450" s="133"/>
      <c r="F450" s="133"/>
      <c r="G450" s="133"/>
      <c r="H450" s="133"/>
      <c r="I450" s="133"/>
      <c r="J450" s="133"/>
      <c r="K450" s="120"/>
      <c r="L450" s="107"/>
      <c r="M450" s="107"/>
      <c r="N450" s="107"/>
    </row>
    <row r="451" spans="2:18" x14ac:dyDescent="0.25">
      <c r="B451" s="66" t="s">
        <v>62</v>
      </c>
      <c r="C451" s="48"/>
      <c r="D451" s="48"/>
      <c r="E451" s="48"/>
      <c r="F451" s="48"/>
      <c r="G451" s="48"/>
      <c r="H451" s="48"/>
      <c r="I451" s="48"/>
      <c r="J451" s="48"/>
      <c r="K451" s="48"/>
    </row>
    <row r="452" spans="2:18" x14ac:dyDescent="0.25">
      <c r="B452" s="66" t="s">
        <v>22</v>
      </c>
    </row>
    <row r="453" spans="2:18" x14ac:dyDescent="0.25">
      <c r="B453" s="66"/>
    </row>
    <row r="454" spans="2:18" ht="20.100000000000001" customHeight="1" thickBot="1" x14ac:dyDescent="0.3">
      <c r="B454" s="132" t="s">
        <v>30</v>
      </c>
      <c r="C454" s="132"/>
      <c r="D454" s="132"/>
      <c r="E454" s="132"/>
      <c r="F454" s="132"/>
      <c r="G454" s="132"/>
      <c r="H454" s="132"/>
      <c r="I454" s="132"/>
      <c r="J454" s="132"/>
      <c r="K454" s="132"/>
      <c r="L454" s="132"/>
      <c r="M454" s="132"/>
      <c r="N454" s="132"/>
    </row>
    <row r="455" spans="2:18" ht="29.25" customHeight="1" x14ac:dyDescent="0.25">
      <c r="B455" s="49"/>
      <c r="C455" s="50" t="s">
        <v>17</v>
      </c>
      <c r="D455" s="51"/>
      <c r="E455" s="51"/>
      <c r="F455" s="51"/>
      <c r="G455" s="52"/>
      <c r="H455" s="51"/>
      <c r="I455" s="50" t="s">
        <v>18</v>
      </c>
      <c r="J455" s="51"/>
      <c r="K455" s="51"/>
      <c r="L455" s="51"/>
      <c r="M455" s="52"/>
      <c r="N455" s="52"/>
    </row>
    <row r="456" spans="2:18" x14ac:dyDescent="0.25">
      <c r="B456" s="53"/>
      <c r="C456" s="9">
        <v>2016</v>
      </c>
      <c r="D456" s="9"/>
      <c r="E456" s="9"/>
      <c r="F456" s="10">
        <v>2019</v>
      </c>
      <c r="G456" s="10"/>
      <c r="H456" s="10"/>
      <c r="I456" s="181">
        <v>2016</v>
      </c>
      <c r="J456" s="182"/>
      <c r="K456" s="183"/>
      <c r="L456" s="10">
        <v>2019</v>
      </c>
      <c r="M456" s="10"/>
      <c r="N456" s="10"/>
    </row>
    <row r="457" spans="2:18" ht="15.75" thickBot="1" x14ac:dyDescent="0.3">
      <c r="B457" s="54"/>
      <c r="C457" s="14" t="s">
        <v>7</v>
      </c>
      <c r="D457" s="15" t="s">
        <v>8</v>
      </c>
      <c r="E457" s="16" t="s">
        <v>9</v>
      </c>
      <c r="F457" s="55" t="s">
        <v>7</v>
      </c>
      <c r="G457" s="55" t="s">
        <v>8</v>
      </c>
      <c r="H457" s="17" t="s">
        <v>9</v>
      </c>
      <c r="I457" s="14" t="s">
        <v>7</v>
      </c>
      <c r="J457" s="15" t="s">
        <v>8</v>
      </c>
      <c r="K457" s="16" t="s">
        <v>9</v>
      </c>
      <c r="L457" s="55" t="s">
        <v>7</v>
      </c>
      <c r="M457" s="55" t="s">
        <v>8</v>
      </c>
      <c r="N457" s="17" t="s">
        <v>9</v>
      </c>
    </row>
    <row r="458" spans="2:18" ht="15.75" thickBot="1" x14ac:dyDescent="0.3">
      <c r="B458" s="18"/>
      <c r="C458" s="56">
        <v>33.37401454112176</v>
      </c>
      <c r="D458" s="57">
        <v>71.983310912698997</v>
      </c>
      <c r="E458" s="57">
        <v>64.3</v>
      </c>
      <c r="F458" s="56">
        <f>J443/([3]NA88_AGE_SEXE!$D$1078+[3]NA88_AGE_SEXE!$D$1080+[3]NA88_AGE_SEXE!$D$1082+[3]NA88_AGE_SEXE!$D$1084+[3]NA88_AGE_SEXE!$D$1086+[3]NA88_AGE_SEXE!$D$1088+[3]NA88_AGE_SEXE!$D$1090+[3]NA88_AGE_SEXE!$D$1092+[3]NA88_AGE_SEXE!$D$1094+[3]NA88_AGE_SEXE!$D$1096+[3]NA88_AGE_SEXE!$D$1098+[3]NA88_AGE_SEXE!$D$1100)*1000</f>
        <v>36.32589517384536</v>
      </c>
      <c r="G458" s="57">
        <f>L443/([3]NA88_AGE_SEXE!$D$1077+[3]NA88_AGE_SEXE!$D$1079+[3]NA88_AGE_SEXE!$D$1081+[3]NA88_AGE_SEXE!$D$1083+[3]NA88_AGE_SEXE!$D$1085+[3]NA88_AGE_SEXE!$D$1087+[3]NA88_AGE_SEXE!$D$1089+[3]NA88_AGE_SEXE!$D$1091+[3]NA88_AGE_SEXE!$D$1093+[3]NA88_AGE_SEXE!$D$1095+[3]NA88_AGE_SEXE!$D$1097+[3]NA88_AGE_SEXE!$D$1099)*1000</f>
        <v>74.316519060454368</v>
      </c>
      <c r="H458" s="58">
        <f>N443/([3]NA88_AGE_SEXE!$D$1077+[3]NA88_AGE_SEXE!$D$1078+[3]NA88_AGE_SEXE!$D$1079+[3]NA88_AGE_SEXE!$D$1080+[3]NA88_AGE_SEXE!$D$1081+[3]NA88_AGE_SEXE!$D$1082+[3]NA88_AGE_SEXE!$D$1083+[3]NA88_AGE_SEXE!$D$1084+[3]NA88_AGE_SEXE!$D$1085+[3]NA88_AGE_SEXE!$D$1086+[3]NA88_AGE_SEXE!$D$1087+[3]NA88_AGE_SEXE!$D$1088+[3]NA88_AGE_SEXE!$D$1089+[3]NA88_AGE_SEXE!$D$1090+[3]NA88_AGE_SEXE!$D$1091+[3]NA88_AGE_SEXE!$D$1092+[3]NA88_AGE_SEXE!$D$1093+[3]NA88_AGE_SEXE!$D$1094+[3]NA88_AGE_SEXE!$D$1095+[3]NA88_AGE_SEXE!$D$1096+[3]NA88_AGE_SEXE!$D$1097+[3]NA88_AGE_SEXE!$D$1098+[3]NA88_AGE_SEXE!$D$1099+[3]NA88_AGE_SEXE!$D$1100)*1000</f>
        <v>66.783288742539625</v>
      </c>
      <c r="I458" s="56">
        <f>G443/[1]ARA_eff_age_2016!$D412*1000000</f>
        <v>26.424888309165571</v>
      </c>
      <c r="J458" s="57">
        <f>H443/[1]ARA_eff_age_2016!$B$412*1000000</f>
        <v>38.562480304790675</v>
      </c>
      <c r="K458" s="58">
        <f>I443/[1]ARA_eff_age_2016!$F$412*1000000</f>
        <v>36.819355159863221</v>
      </c>
      <c r="L458" s="57">
        <f>J443/[2]ARA_eff_age_2019!$D$412*1000000</f>
        <v>23.297070149364174</v>
      </c>
      <c r="M458" s="57">
        <f>L443/[2]ARA_eff_age_2019!$B$412*1000000</f>
        <v>36.57477659381064</v>
      </c>
      <c r="N458" s="58">
        <f>N443/[2]ARA_eff_age_2019!$F$412*1000000</f>
        <v>34.456667289907024</v>
      </c>
      <c r="P458" s="62"/>
      <c r="Q458" s="62"/>
      <c r="R458" s="62"/>
    </row>
    <row r="459" spans="2:18" x14ac:dyDescent="0.25">
      <c r="B459" s="128" t="s">
        <v>96</v>
      </c>
      <c r="C459" s="106">
        <v>57.7</v>
      </c>
      <c r="D459" s="107">
        <v>101.7</v>
      </c>
      <c r="E459" s="108">
        <v>94</v>
      </c>
      <c r="F459" s="106">
        <v>47.1</v>
      </c>
      <c r="G459" s="107">
        <v>90.9</v>
      </c>
      <c r="H459" s="108">
        <v>83</v>
      </c>
      <c r="I459" s="106">
        <v>30.6</v>
      </c>
      <c r="J459" s="107">
        <v>50.9</v>
      </c>
      <c r="K459" s="108">
        <v>47.5</v>
      </c>
      <c r="L459" s="106">
        <v>25.7</v>
      </c>
      <c r="M459" s="107">
        <v>47.1</v>
      </c>
      <c r="N459" s="108">
        <v>43.4</v>
      </c>
      <c r="P459" s="62"/>
      <c r="Q459" s="62"/>
      <c r="R459" s="62"/>
    </row>
    <row r="460" spans="2:18" x14ac:dyDescent="0.25">
      <c r="B460" s="26" t="s">
        <v>12</v>
      </c>
      <c r="C460" s="59">
        <v>36.478484754346823</v>
      </c>
      <c r="D460" s="60">
        <v>82.541810722526449</v>
      </c>
      <c r="E460" s="61">
        <v>72.842956532080635</v>
      </c>
      <c r="F460" s="59">
        <f>J445/([3]NA88_AGE_SEXE!$D$1086+[3]NA88_AGE_SEXE!$D$1088)*1000</f>
        <v>41.983852364475204</v>
      </c>
      <c r="G460" s="60">
        <f>L445/([3]NA88_AGE_SEXE!$D$1085+[3]NA88_AGE_SEXE!$D$1087)*1000</f>
        <v>87.358748292561785</v>
      </c>
      <c r="H460" s="61">
        <f>N445/([3]NA88_AGE_SEXE!$D$1085+[3]NA88_AGE_SEXE!$D$1086+[3]NA88_AGE_SEXE!$D$1087+[3]NA88_AGE_SEXE!$D$1088)*1000</f>
        <v>77.735922900053808</v>
      </c>
      <c r="I460" s="59">
        <f>G445/[1]ARA_eff_age_2016!$D408*1000000</f>
        <v>27.918713378964259</v>
      </c>
      <c r="J460" s="60">
        <f>H445/[1]ARA_eff_age_2016!$B408*1000000</f>
        <v>45.111588584243492</v>
      </c>
      <c r="K460" s="61">
        <f>I445/([1]ARA_eff_age_2016!$F408)*1000000</f>
        <v>42.561137134891752</v>
      </c>
      <c r="L460" s="59">
        <f>J445/[2]ARA_eff_age_2019!$D408*1000000</f>
        <v>27.239926428251458</v>
      </c>
      <c r="M460" s="60">
        <f>L445/[2]ARA_eff_age_2019!$B408*1000000</f>
        <v>41.631304468547988</v>
      </c>
      <c r="N460" s="61">
        <f>N445/[2]ARA_eff_age_2019!$F408*1000000</f>
        <v>39.255841659573932</v>
      </c>
      <c r="P460" s="62"/>
      <c r="Q460" s="62"/>
      <c r="R460" s="62"/>
    </row>
    <row r="461" spans="2:18" x14ac:dyDescent="0.25">
      <c r="B461" s="26" t="s">
        <v>13</v>
      </c>
      <c r="C461" s="59">
        <v>32.766416168384481</v>
      </c>
      <c r="D461" s="60">
        <v>70.036481398388588</v>
      </c>
      <c r="E461" s="61">
        <v>62.545496490437749</v>
      </c>
      <c r="F461" s="59">
        <f>J446/([3]NA88_AGE_SEXE!$D$1090+[3]NA88_AGE_SEXE!$D$1092)*1000</f>
        <v>34.072580645161288</v>
      </c>
      <c r="G461" s="60">
        <f>L446/([3]NA88_AGE_SEXE!$D$1089+[3]NA88_AGE_SEXE!$D$1091)*1000</f>
        <v>64.511431483908552</v>
      </c>
      <c r="H461" s="61">
        <f>N446/([3]NA88_AGE_SEXE!$D$1089+[3]NA88_AGE_SEXE!$D$1090+[3]NA88_AGE_SEXE!$D$1091+[3]NA88_AGE_SEXE!$D$1092)*1000</f>
        <v>58.60490591134932</v>
      </c>
      <c r="I461" s="59">
        <f>G446/[1]ARA_eff_age_2016!$D409*1000000</f>
        <v>27.536416109828036</v>
      </c>
      <c r="J461" s="60">
        <f>H446/[1]ARA_eff_age_2016!$B409*1000000</f>
        <v>37.992259131168304</v>
      </c>
      <c r="K461" s="61">
        <f>I446/([1]ARA_eff_age_2016!$F409)*1000000</f>
        <v>36.48416846864977</v>
      </c>
      <c r="L461" s="59">
        <f>J446/[2]ARA_eff_age_2019!$D409*1000000</f>
        <v>21.423330590132895</v>
      </c>
      <c r="M461" s="60">
        <f>L446/[2]ARA_eff_age_2019!$B409*1000000</f>
        <v>33.122918477544054</v>
      </c>
      <c r="N461" s="61">
        <f>N446/[2]ARA_eff_age_2019!$F409*1000000</f>
        <v>31.200616380881794</v>
      </c>
      <c r="P461" s="62"/>
      <c r="Q461" s="62"/>
      <c r="R461" s="62"/>
    </row>
    <row r="462" spans="2:18" x14ac:dyDescent="0.25">
      <c r="B462" s="26" t="s">
        <v>14</v>
      </c>
      <c r="C462" s="59">
        <v>30.178351755182156</v>
      </c>
      <c r="D462" s="60">
        <v>59.15414324378947</v>
      </c>
      <c r="E462" s="61">
        <v>53.753861412069284</v>
      </c>
      <c r="F462" s="59">
        <f>J447/([3]NA88_AGE_SEXE!$D$1094+[3]NA88_AGE_SEXE!$D$1096)*1000</f>
        <v>31.344323194799163</v>
      </c>
      <c r="G462" s="60">
        <f>L447/([3]NA88_AGE_SEXE!$D$1093+[3]NA88_AGE_SEXE!$D$1095)*1000</f>
        <v>66.059225512528471</v>
      </c>
      <c r="H462" s="61">
        <f>N447/([3]NA88_AGE_SEXE!$D$1093+[3]NA88_AGE_SEXE!$D$1094+[3]NA88_AGE_SEXE!$D$1095+[3]NA88_AGE_SEXE!$D$1096)*1000</f>
        <v>59.845399384922281</v>
      </c>
      <c r="I462" s="59">
        <f>G447/[1]ARA_eff_age_2016!$D410*1000000</f>
        <v>23.278362112787455</v>
      </c>
      <c r="J462" s="60">
        <f>H447/[1]ARA_eff_age_2016!$B410*1000000</f>
        <v>31.095508682016046</v>
      </c>
      <c r="K462" s="61">
        <f>I447/([1]ARA_eff_age_2016!$F410)*1000000</f>
        <v>30.069045067314143</v>
      </c>
      <c r="L462" s="59">
        <f>J447/[2]ARA_eff_age_2019!$D410*1000000</f>
        <v>19.529707288747154</v>
      </c>
      <c r="M462" s="60">
        <f>L447/[2]ARA_eff_age_2019!$B410*1000000</f>
        <v>32.398695114624346</v>
      </c>
      <c r="N462" s="61">
        <f>N447/[2]ARA_eff_age_2019!$F410*1000000</f>
        <v>30.513681296380533</v>
      </c>
      <c r="P462" s="62"/>
      <c r="Q462" s="62"/>
      <c r="R462" s="62"/>
    </row>
    <row r="463" spans="2:18" ht="15.75" thickBot="1" x14ac:dyDescent="0.3">
      <c r="B463" s="36" t="s">
        <v>15</v>
      </c>
      <c r="C463" s="63">
        <v>18.518518518518519</v>
      </c>
      <c r="D463" s="64">
        <v>44.263299350922978</v>
      </c>
      <c r="E463" s="65">
        <v>39.78923408650062</v>
      </c>
      <c r="F463" s="63">
        <f>J448/([3]NA88_AGE_SEXE!$D$1098+[3]NA88_AGE_SEXE!$D$1100)*1000</f>
        <v>48.96907216494845</v>
      </c>
      <c r="G463" s="64">
        <f>L448/([3]NA88_AGE_SEXE!$D$1097+[3]NA88_AGE_SEXE!$D$1099)*1000</f>
        <v>78.01418439716312</v>
      </c>
      <c r="H463" s="65">
        <f>N448/([3]NA88_AGE_SEXE!$D$1097+[3]NA88_AGE_SEXE!$D$1098+[3]NA88_AGE_SEXE!$D$1099+[3]NA88_AGE_SEXE!$D$1100)*1000</f>
        <v>72.202166064981952</v>
      </c>
      <c r="I463" s="63">
        <f>G448/[1]ARA_eff_age_2016!$D411*1000000</f>
        <v>14.925685014313732</v>
      </c>
      <c r="J463" s="64">
        <f>H448/[1]ARA_eff_age_2016!$B411*1000000</f>
        <v>23.007725090714661</v>
      </c>
      <c r="K463" s="65">
        <f>I448/([1]ARA_eff_age_2016!$F411)*1000000</f>
        <v>22.003679806407174</v>
      </c>
      <c r="L463" s="63">
        <f>J448/[2]ARA_eff_age_2019!$D411*1000000</f>
        <v>26.449631201655468</v>
      </c>
      <c r="M463" s="64">
        <f>L448/[2]ARA_eff_age_2019!$B411*1000000</f>
        <v>28.19373570143626</v>
      </c>
      <c r="N463" s="65">
        <f>N448/[2]ARA_eff_age_2019!$F411*1000000</f>
        <v>27.943665570210456</v>
      </c>
      <c r="P463" s="62"/>
      <c r="Q463" s="62"/>
      <c r="R463" s="62"/>
    </row>
    <row r="464" spans="2:18" x14ac:dyDescent="0.25">
      <c r="B464" s="44" t="s">
        <v>87</v>
      </c>
      <c r="C464" s="101"/>
      <c r="D464" s="101"/>
      <c r="E464" s="101"/>
      <c r="F464" s="101"/>
      <c r="G464" s="46"/>
      <c r="H464" s="46"/>
      <c r="I464" s="46"/>
      <c r="J464" s="46"/>
      <c r="K464" s="46"/>
      <c r="L464" s="107"/>
      <c r="M464" s="107"/>
      <c r="N464" s="107"/>
    </row>
    <row r="465" spans="2:18" ht="14.45" customHeight="1" x14ac:dyDescent="0.25">
      <c r="B465" s="133" t="s">
        <v>88</v>
      </c>
      <c r="C465" s="133"/>
      <c r="D465" s="133"/>
      <c r="E465" s="133"/>
      <c r="F465" s="133"/>
      <c r="G465" s="133"/>
      <c r="H465" s="133"/>
      <c r="I465" s="133"/>
      <c r="J465" s="133"/>
      <c r="K465" s="120"/>
      <c r="L465" s="107"/>
      <c r="M465" s="107"/>
      <c r="N465" s="107"/>
    </row>
    <row r="466" spans="2:18" x14ac:dyDescent="0.25">
      <c r="B466" s="113" t="s">
        <v>63</v>
      </c>
      <c r="C466" s="48"/>
      <c r="D466" s="48"/>
      <c r="E466" s="48"/>
      <c r="F466" s="48"/>
      <c r="G466" s="48"/>
      <c r="H466" s="48"/>
      <c r="I466" s="48"/>
      <c r="J466" s="48"/>
      <c r="K466" s="48"/>
    </row>
    <row r="467" spans="2:18" x14ac:dyDescent="0.25">
      <c r="B467" s="66"/>
    </row>
    <row r="468" spans="2:18" ht="20.100000000000001" customHeight="1" thickBot="1" x14ac:dyDescent="0.3">
      <c r="B468" s="132" t="s">
        <v>30</v>
      </c>
      <c r="C468" s="132"/>
      <c r="D468" s="132"/>
      <c r="E468" s="132"/>
      <c r="F468" s="132"/>
      <c r="G468" s="132"/>
      <c r="H468" s="132"/>
      <c r="I468" s="132"/>
      <c r="J468" s="132"/>
      <c r="K468" s="132"/>
      <c r="L468" s="132"/>
      <c r="M468" s="132"/>
      <c r="N468" s="132"/>
    </row>
    <row r="469" spans="2:18" ht="42.75" customHeight="1" x14ac:dyDescent="0.25">
      <c r="B469" s="49"/>
      <c r="C469" s="67" t="s">
        <v>19</v>
      </c>
      <c r="D469" s="68"/>
      <c r="E469" s="68"/>
      <c r="F469" s="68"/>
      <c r="G469" s="69"/>
      <c r="H469" s="68"/>
      <c r="I469" s="67" t="s">
        <v>20</v>
      </c>
      <c r="J469" s="68"/>
      <c r="K469" s="68"/>
      <c r="L469" s="68"/>
      <c r="M469" s="69"/>
      <c r="N469" s="69"/>
    </row>
    <row r="470" spans="2:18" x14ac:dyDescent="0.25">
      <c r="B470" s="53"/>
      <c r="C470" s="9">
        <v>2016</v>
      </c>
      <c r="D470" s="9"/>
      <c r="E470" s="9"/>
      <c r="F470" s="10">
        <v>2019</v>
      </c>
      <c r="G470" s="10"/>
      <c r="H470" s="10"/>
      <c r="I470" s="9">
        <v>2016</v>
      </c>
      <c r="J470" s="9"/>
      <c r="K470" s="9"/>
      <c r="L470" s="10">
        <v>2019</v>
      </c>
      <c r="M470" s="10"/>
      <c r="N470" s="10"/>
    </row>
    <row r="471" spans="2:18" ht="15.75" thickBot="1" x14ac:dyDescent="0.3">
      <c r="B471" s="54"/>
      <c r="C471" s="14" t="s">
        <v>7</v>
      </c>
      <c r="D471" s="15" t="s">
        <v>8</v>
      </c>
      <c r="E471" s="16" t="s">
        <v>9</v>
      </c>
      <c r="F471" s="55" t="s">
        <v>7</v>
      </c>
      <c r="G471" s="55" t="s">
        <v>8</v>
      </c>
      <c r="H471" s="17" t="s">
        <v>9</v>
      </c>
      <c r="I471" s="14" t="s">
        <v>7</v>
      </c>
      <c r="J471" s="15" t="s">
        <v>8</v>
      </c>
      <c r="K471" s="16" t="s">
        <v>9</v>
      </c>
      <c r="L471" s="55" t="s">
        <v>7</v>
      </c>
      <c r="M471" s="55" t="s">
        <v>8</v>
      </c>
      <c r="N471" s="17" t="s">
        <v>9</v>
      </c>
    </row>
    <row r="472" spans="2:18" ht="15.75" thickBot="1" x14ac:dyDescent="0.3">
      <c r="B472" s="18"/>
      <c r="C472" s="115">
        <v>2.8</v>
      </c>
      <c r="D472" s="115">
        <v>3.8</v>
      </c>
      <c r="E472" s="57">
        <v>3.7</v>
      </c>
      <c r="F472" s="56">
        <v>2.4</v>
      </c>
      <c r="G472" s="57">
        <v>3.5</v>
      </c>
      <c r="H472" s="58">
        <v>2.9</v>
      </c>
      <c r="I472" s="56">
        <f>[1]ARA_eff_age_2016!$G$152/[1]ARA_eff_age_2016!$D$412*1000000</f>
        <v>20.56830845341079</v>
      </c>
      <c r="J472" s="57">
        <f>[1]ARA_eff_age_2016!$F$152/[1]ARA_eff_age_2016!$B$412*1000000</f>
        <v>48.627381949133969</v>
      </c>
      <c r="K472" s="58">
        <f>[1]ARA_eff_age_2016!$H$152/[1]ARA_eff_age_2016!$F$412*1000000</f>
        <v>44.597713084717363</v>
      </c>
      <c r="L472" s="57">
        <f>[2]ARA_eff_age_2019!$G$152/[2]ARA_eff_age_2019!$D$412*1000000</f>
        <v>18.119943449505467</v>
      </c>
      <c r="M472" s="57">
        <f>[2]ARA_eff_age_2019!$F$152/[2]ARA_eff_age_2019!$B$412*1000000</f>
        <v>41.473873516182508</v>
      </c>
      <c r="N472" s="58">
        <f>[2]ARA_eff_age_2019!$H$152/[2]ARA_eff_age_2019!$F$412*1000000</f>
        <v>37.748367400807226</v>
      </c>
      <c r="P472" s="62"/>
      <c r="Q472" s="62"/>
      <c r="R472" s="62"/>
    </row>
    <row r="473" spans="2:18" x14ac:dyDescent="0.25">
      <c r="B473" s="128" t="s">
        <v>96</v>
      </c>
      <c r="C473" s="107">
        <v>3.2</v>
      </c>
      <c r="D473" s="107">
        <v>2.5</v>
      </c>
      <c r="E473" s="108">
        <v>3.1</v>
      </c>
      <c r="F473" s="106">
        <v>2.1</v>
      </c>
      <c r="G473" s="107">
        <v>2.9</v>
      </c>
      <c r="H473" s="107">
        <v>2.8</v>
      </c>
      <c r="I473" s="106">
        <v>3.7</v>
      </c>
      <c r="J473" s="107">
        <v>15.9</v>
      </c>
      <c r="K473" s="107">
        <v>13.9</v>
      </c>
      <c r="L473" s="106">
        <v>5.8</v>
      </c>
      <c r="M473" s="107">
        <v>9.1</v>
      </c>
      <c r="N473" s="96">
        <v>8.6</v>
      </c>
      <c r="P473" s="62"/>
      <c r="Q473" s="62"/>
      <c r="R473" s="62"/>
    </row>
    <row r="474" spans="2:18" x14ac:dyDescent="0.25">
      <c r="B474" s="26" t="s">
        <v>12</v>
      </c>
      <c r="C474" s="107">
        <v>2.6976209296099936</v>
      </c>
      <c r="D474" s="107">
        <v>4.389792130421327</v>
      </c>
      <c r="E474" s="61">
        <v>4.1387695155223749</v>
      </c>
      <c r="F474" s="59">
        <v>2.6153322769629996</v>
      </c>
      <c r="G474" s="60">
        <v>3.7033515981435219</v>
      </c>
      <c r="H474" s="60">
        <v>3.0921622253857017</v>
      </c>
      <c r="I474" s="59">
        <f>[1]ARA_eff_age_2016!$G148/[1]ARA_eff_age_2016!$D408*1000000</f>
        <v>18.612475585976174</v>
      </c>
      <c r="J474" s="60">
        <f>[1]ARA_eff_age_2016!$F148/[1]ARA_eff_age_2016!$B408*1000000</f>
        <v>37.93788030785003</v>
      </c>
      <c r="K474" s="60">
        <f>[1]ARA_eff_age_2016!$H148/[1]ARA_eff_age_2016!$F408*1000000</f>
        <v>35.071081945521563</v>
      </c>
      <c r="L474" s="59">
        <f>[2]ARA_eff_age_2019!$G148/[2]ARA_eff_age_2019!$D408*1000000</f>
        <v>22.899498590782819</v>
      </c>
      <c r="M474" s="60">
        <f>[2]ARA_eff_age_2019!$F148/[2]ARA_eff_age_2019!$B408*1000000</f>
        <v>27.931735194249683</v>
      </c>
      <c r="N474" s="61">
        <f>[2]ARA_eff_age_2019!$H148/[2]ARA_eff_age_2019!$F408*1000000</f>
        <v>27.101106545344624</v>
      </c>
      <c r="P474" s="62"/>
      <c r="Q474" s="62"/>
      <c r="R474" s="62"/>
    </row>
    <row r="475" spans="2:18" x14ac:dyDescent="0.25">
      <c r="B475" s="26" t="s">
        <v>13</v>
      </c>
      <c r="C475" s="107">
        <v>2.9476772872915915</v>
      </c>
      <c r="D475" s="107">
        <v>3.9585073801987103</v>
      </c>
      <c r="E475" s="61">
        <v>3.8127110612032316</v>
      </c>
      <c r="F475" s="59">
        <v>2.6089560170149415</v>
      </c>
      <c r="G475" s="60">
        <v>3.4754888907874819</v>
      </c>
      <c r="H475" s="60">
        <v>2.90452068790175</v>
      </c>
      <c r="I475" s="59">
        <f>[1]ARA_eff_age_2016!$G149/[1]ARA_eff_age_2016!$D409*1000000</f>
        <v>29.297465977317035</v>
      </c>
      <c r="J475" s="60">
        <f>[1]ARA_eff_age_2016!$F149/[1]ARA_eff_age_2016!$B409*1000000</f>
        <v>51.348912731969662</v>
      </c>
      <c r="K475" s="60">
        <f>[1]ARA_eff_age_2016!$H149/[1]ARA_eff_age_2016!$F409*1000000</f>
        <v>48.168338876964185</v>
      </c>
      <c r="L475" s="59">
        <f>[2]ARA_eff_age_2019!$G149/[2]ARA_eff_age_2019!$D409*1000000</f>
        <v>20.916269511076496</v>
      </c>
      <c r="M475" s="60">
        <f>[2]ARA_eff_age_2019!$F149/[2]ARA_eff_age_2019!$B409*1000000</f>
        <v>44.88666379086294</v>
      </c>
      <c r="N475" s="61">
        <f>[2]ARA_eff_age_2019!$H149/[2]ARA_eff_age_2019!$F409*1000000</f>
        <v>40.948205477178639</v>
      </c>
      <c r="P475" s="62"/>
      <c r="Q475" s="62"/>
      <c r="R475" s="62"/>
    </row>
    <row r="476" spans="2:18" x14ac:dyDescent="0.25">
      <c r="B476" s="26" t="s">
        <v>14</v>
      </c>
      <c r="C476" s="107">
        <v>2.9016749052218778</v>
      </c>
      <c r="D476" s="107">
        <v>3.6658331524656704</v>
      </c>
      <c r="E476" s="61">
        <v>3.5654921098967911</v>
      </c>
      <c r="F476" s="59">
        <v>2.2016490016847627</v>
      </c>
      <c r="G476" s="60">
        <v>3.6487882143229542</v>
      </c>
      <c r="H476" s="60">
        <v>3.1144011053965501</v>
      </c>
      <c r="I476" s="59">
        <f>[1]ARA_eff_age_2016!$G150/[1]ARA_eff_age_2016!$D410*1000000</f>
        <v>23.278362112787455</v>
      </c>
      <c r="J476" s="60">
        <f>[1]ARA_eff_age_2016!$F150/[1]ARA_eff_age_2016!$B410*1000000</f>
        <v>72.665293972711183</v>
      </c>
      <c r="K476" s="60">
        <f>[1]ARA_eff_age_2016!$H150/[1]ARA_eff_age_2016!$F410*1000000</f>
        <v>66.180333233261152</v>
      </c>
      <c r="L476" s="59">
        <f>[2]ARA_eff_age_2019!$G150/[2]ARA_eff_age_2019!$D410*1000000</f>
        <v>17.070410815349366</v>
      </c>
      <c r="M476" s="60">
        <f>[2]ARA_eff_age_2019!$F150/[2]ARA_eff_age_2019!$B410*1000000</f>
        <v>60.601697145439104</v>
      </c>
      <c r="N476" s="61">
        <f>[2]ARA_eff_age_2019!$H150/[2]ARA_eff_age_2019!$F410*1000000</f>
        <v>54.225354470442902</v>
      </c>
      <c r="P476" s="62"/>
      <c r="Q476" s="62"/>
      <c r="R476" s="62"/>
    </row>
    <row r="477" spans="2:18" ht="15.75" thickBot="1" x14ac:dyDescent="0.3">
      <c r="B477" s="36" t="s">
        <v>15</v>
      </c>
      <c r="C477" s="110">
        <v>2.6119948775049031</v>
      </c>
      <c r="D477" s="110">
        <v>2.7297324879100051</v>
      </c>
      <c r="E477" s="65">
        <v>2.7151057486962205</v>
      </c>
      <c r="F477" s="63">
        <v>2.7479774732667313</v>
      </c>
      <c r="G477" s="64">
        <v>3.0471370135167994</v>
      </c>
      <c r="H477" s="64">
        <v>2.6105418613089526</v>
      </c>
      <c r="I477" s="63">
        <f>[1]ARA_eff_age_2016!$G151/[1]ARA_eff_age_2016!$D411*1000000</f>
        <v>19.900913352418311</v>
      </c>
      <c r="J477" s="64">
        <f>[1]ARA_eff_age_2016!$F151/[1]ARA_eff_age_2016!$B411*1000000</f>
        <v>34.441011792235443</v>
      </c>
      <c r="K477" s="65">
        <f>[1]ARA_eff_age_2016!$H151/[1]ARA_eff_age_2016!$F411*1000000</f>
        <v>32.634671173547723</v>
      </c>
      <c r="L477" s="63">
        <f>[2]ARA_eff_age_2019!$G151/[2]ARA_eff_age_2019!$D411*1000000</f>
        <v>20.881287790780632</v>
      </c>
      <c r="M477" s="64">
        <f>[2]ARA_eff_age_2019!$F151/[2]ARA_eff_age_2019!$B411*1000000</f>
        <v>63.261150768098716</v>
      </c>
      <c r="N477" s="65">
        <f>[2]ARA_eff_age_2019!$H151/[2]ARA_eff_age_2019!$F411*1000000</f>
        <v>57.18471561332354</v>
      </c>
      <c r="P477" s="62"/>
      <c r="Q477" s="62"/>
      <c r="R477" s="62"/>
    </row>
    <row r="478" spans="2:18" x14ac:dyDescent="0.25">
      <c r="B478" s="44" t="s">
        <v>87</v>
      </c>
      <c r="C478" s="101"/>
      <c r="D478" s="101"/>
      <c r="E478" s="101"/>
      <c r="F478" s="101"/>
      <c r="G478" s="46"/>
      <c r="H478" s="46"/>
      <c r="I478" s="46"/>
      <c r="J478" s="46"/>
      <c r="K478" s="46"/>
      <c r="L478" s="107"/>
      <c r="M478" s="107"/>
      <c r="N478" s="107"/>
    </row>
    <row r="479" spans="2:18" ht="14.45" customHeight="1" x14ac:dyDescent="0.25">
      <c r="B479" s="133" t="s">
        <v>88</v>
      </c>
      <c r="C479" s="133"/>
      <c r="D479" s="133"/>
      <c r="E479" s="133"/>
      <c r="F479" s="133"/>
      <c r="G479" s="133"/>
      <c r="H479" s="133"/>
      <c r="I479" s="133"/>
      <c r="J479" s="133"/>
      <c r="K479" s="120"/>
      <c r="L479" s="107"/>
      <c r="M479" s="107"/>
      <c r="N479" s="107"/>
    </row>
    <row r="480" spans="2:18" x14ac:dyDescent="0.25">
      <c r="B480" s="47" t="s">
        <v>64</v>
      </c>
      <c r="C480" s="48"/>
      <c r="D480" s="48"/>
      <c r="E480" s="48"/>
      <c r="F480" s="48"/>
      <c r="G480" s="48"/>
      <c r="H480" s="48"/>
      <c r="I480" s="48"/>
      <c r="J480" s="48"/>
      <c r="K480" s="48"/>
    </row>
    <row r="481" spans="2:7" ht="15.75" thickBot="1" x14ac:dyDescent="0.3"/>
    <row r="482" spans="2:7" ht="15" customHeight="1" thickTop="1" x14ac:dyDescent="0.25">
      <c r="B482" s="152" t="s">
        <v>83</v>
      </c>
      <c r="C482" s="136"/>
      <c r="D482" s="136"/>
      <c r="E482" s="136"/>
      <c r="F482" s="136"/>
      <c r="G482" s="153"/>
    </row>
    <row r="483" spans="2:7" x14ac:dyDescent="0.25">
      <c r="B483" s="154"/>
      <c r="C483" s="139"/>
      <c r="D483" s="139"/>
      <c r="E483" s="139"/>
      <c r="F483" s="139"/>
      <c r="G483" s="155"/>
    </row>
    <row r="484" spans="2:7" x14ac:dyDescent="0.25">
      <c r="B484" s="154"/>
      <c r="C484" s="139"/>
      <c r="D484" s="139"/>
      <c r="E484" s="139"/>
      <c r="F484" s="139"/>
      <c r="G484" s="155"/>
    </row>
    <row r="485" spans="2:7" x14ac:dyDescent="0.25">
      <c r="B485" s="154"/>
      <c r="C485" s="139"/>
      <c r="D485" s="139"/>
      <c r="E485" s="139"/>
      <c r="F485" s="139"/>
      <c r="G485" s="155"/>
    </row>
    <row r="486" spans="2:7" x14ac:dyDescent="0.25">
      <c r="B486" s="154"/>
      <c r="C486" s="139"/>
      <c r="D486" s="139"/>
      <c r="E486" s="139"/>
      <c r="F486" s="139"/>
      <c r="G486" s="155"/>
    </row>
    <row r="487" spans="2:7" x14ac:dyDescent="0.25">
      <c r="B487" s="154"/>
      <c r="C487" s="139"/>
      <c r="D487" s="139"/>
      <c r="E487" s="139"/>
      <c r="F487" s="139"/>
      <c r="G487" s="155"/>
    </row>
    <row r="488" spans="2:7" x14ac:dyDescent="0.25">
      <c r="B488" s="154"/>
      <c r="C488" s="139"/>
      <c r="D488" s="139"/>
      <c r="E488" s="139"/>
      <c r="F488" s="139"/>
      <c r="G488" s="155"/>
    </row>
    <row r="489" spans="2:7" x14ac:dyDescent="0.25">
      <c r="B489" s="154"/>
      <c r="C489" s="139"/>
      <c r="D489" s="139"/>
      <c r="E489" s="139"/>
      <c r="F489" s="139"/>
      <c r="G489" s="155"/>
    </row>
    <row r="490" spans="2:7" x14ac:dyDescent="0.25">
      <c r="B490" s="154"/>
      <c r="C490" s="139"/>
      <c r="D490" s="139"/>
      <c r="E490" s="139"/>
      <c r="F490" s="139"/>
      <c r="G490" s="155"/>
    </row>
    <row r="491" spans="2:7" x14ac:dyDescent="0.25">
      <c r="B491" s="154"/>
      <c r="C491" s="139"/>
      <c r="D491" s="139"/>
      <c r="E491" s="139"/>
      <c r="F491" s="139"/>
      <c r="G491" s="155"/>
    </row>
    <row r="492" spans="2:7" x14ac:dyDescent="0.25">
      <c r="B492" s="154"/>
      <c r="C492" s="139"/>
      <c r="D492" s="139"/>
      <c r="E492" s="139"/>
      <c r="F492" s="139"/>
      <c r="G492" s="155"/>
    </row>
    <row r="493" spans="2:7" x14ac:dyDescent="0.25">
      <c r="B493" s="154"/>
      <c r="C493" s="139"/>
      <c r="D493" s="139"/>
      <c r="E493" s="139"/>
      <c r="F493" s="139"/>
      <c r="G493" s="155"/>
    </row>
    <row r="494" spans="2:7" x14ac:dyDescent="0.25">
      <c r="B494" s="154"/>
      <c r="C494" s="139"/>
      <c r="D494" s="139"/>
      <c r="E494" s="139"/>
      <c r="F494" s="139"/>
      <c r="G494" s="155"/>
    </row>
    <row r="495" spans="2:7" x14ac:dyDescent="0.25">
      <c r="B495" s="154"/>
      <c r="C495" s="139"/>
      <c r="D495" s="139"/>
      <c r="E495" s="139"/>
      <c r="F495" s="139"/>
      <c r="G495" s="155"/>
    </row>
    <row r="496" spans="2:7" x14ac:dyDescent="0.25">
      <c r="B496" s="154"/>
      <c r="C496" s="139"/>
      <c r="D496" s="139"/>
      <c r="E496" s="139"/>
      <c r="F496" s="139"/>
      <c r="G496" s="155"/>
    </row>
    <row r="497" spans="2:14" x14ac:dyDescent="0.25">
      <c r="B497" s="154"/>
      <c r="C497" s="139"/>
      <c r="D497" s="139"/>
      <c r="E497" s="139"/>
      <c r="F497" s="139"/>
      <c r="G497" s="155"/>
    </row>
    <row r="498" spans="2:14" x14ac:dyDescent="0.25">
      <c r="B498" s="154"/>
      <c r="C498" s="139"/>
      <c r="D498" s="139"/>
      <c r="E498" s="139"/>
      <c r="F498" s="139"/>
      <c r="G498" s="155"/>
    </row>
    <row r="499" spans="2:14" x14ac:dyDescent="0.25">
      <c r="B499" s="154"/>
      <c r="C499" s="139"/>
      <c r="D499" s="139"/>
      <c r="E499" s="139"/>
      <c r="F499" s="139"/>
      <c r="G499" s="155"/>
    </row>
    <row r="500" spans="2:14" x14ac:dyDescent="0.25">
      <c r="B500" s="154"/>
      <c r="C500" s="139"/>
      <c r="D500" s="139"/>
      <c r="E500" s="139"/>
      <c r="F500" s="139"/>
      <c r="G500" s="155"/>
    </row>
    <row r="501" spans="2:14" x14ac:dyDescent="0.25">
      <c r="B501" s="154"/>
      <c r="C501" s="139"/>
      <c r="D501" s="139"/>
      <c r="E501" s="139"/>
      <c r="F501" s="139"/>
      <c r="G501" s="155"/>
    </row>
    <row r="502" spans="2:14" x14ac:dyDescent="0.25">
      <c r="B502" s="154"/>
      <c r="C502" s="139"/>
      <c r="D502" s="139"/>
      <c r="E502" s="139"/>
      <c r="F502" s="139"/>
      <c r="G502" s="155"/>
    </row>
    <row r="503" spans="2:14" x14ac:dyDescent="0.25">
      <c r="B503" s="154"/>
      <c r="C503" s="139"/>
      <c r="D503" s="139"/>
      <c r="E503" s="139"/>
      <c r="F503" s="139"/>
      <c r="G503" s="155"/>
    </row>
    <row r="504" spans="2:14" x14ac:dyDescent="0.25">
      <c r="B504" s="154"/>
      <c r="C504" s="139"/>
      <c r="D504" s="139"/>
      <c r="E504" s="139"/>
      <c r="F504" s="139"/>
      <c r="G504" s="155"/>
    </row>
    <row r="505" spans="2:14" ht="15.75" thickBot="1" x14ac:dyDescent="0.3">
      <c r="B505" s="156"/>
      <c r="C505" s="157"/>
      <c r="D505" s="157"/>
      <c r="E505" s="157"/>
      <c r="F505" s="157"/>
      <c r="G505" s="158"/>
    </row>
    <row r="506" spans="2:14" ht="9.75" customHeight="1" thickTop="1" x14ac:dyDescent="0.25"/>
    <row r="508" spans="2:14" x14ac:dyDescent="0.25">
      <c r="B508" s="3" t="s">
        <v>27</v>
      </c>
      <c r="C508" s="4"/>
      <c r="D508" s="4"/>
      <c r="E508" s="4"/>
    </row>
    <row r="509" spans="2:14" ht="15.75" customHeight="1" x14ac:dyDescent="0.25">
      <c r="B509" s="2"/>
    </row>
    <row r="510" spans="2:14" ht="20.100000000000001" customHeight="1" thickBot="1" x14ac:dyDescent="0.3">
      <c r="B510" s="134" t="s">
        <v>28</v>
      </c>
      <c r="C510" s="134"/>
      <c r="D510" s="134"/>
      <c r="E510" s="134"/>
      <c r="F510" s="134"/>
      <c r="G510" s="134"/>
      <c r="H510" s="134"/>
      <c r="I510" s="134"/>
      <c r="J510" s="134"/>
      <c r="K510" s="134"/>
      <c r="L510" s="134"/>
      <c r="M510" s="134"/>
      <c r="N510" s="134"/>
    </row>
    <row r="511" spans="2:14" ht="15.75" customHeight="1" thickBot="1" x14ac:dyDescent="0.3">
      <c r="C511" s="144" t="s">
        <v>39</v>
      </c>
      <c r="D511" s="145"/>
      <c r="E511" s="145"/>
      <c r="F511" s="146"/>
      <c r="G511" s="5" t="s">
        <v>4</v>
      </c>
      <c r="H511" s="6"/>
      <c r="I511" s="6"/>
      <c r="J511" s="6"/>
      <c r="K511" s="6"/>
      <c r="L511" s="7"/>
      <c r="M511" s="7"/>
      <c r="N511" s="8"/>
    </row>
    <row r="512" spans="2:14" ht="15" customHeight="1" x14ac:dyDescent="0.25">
      <c r="B512" s="147"/>
      <c r="C512" s="149" t="s">
        <v>5</v>
      </c>
      <c r="D512" s="150"/>
      <c r="E512" s="150" t="s">
        <v>6</v>
      </c>
      <c r="F512" s="151"/>
      <c r="G512" s="9">
        <v>2016</v>
      </c>
      <c r="H512" s="9"/>
      <c r="I512" s="9"/>
      <c r="J512" s="10">
        <v>2019</v>
      </c>
      <c r="K512" s="10"/>
      <c r="L512" s="10"/>
      <c r="M512" s="10"/>
      <c r="N512" s="10"/>
    </row>
    <row r="513" spans="2:14" ht="15.75" thickBot="1" x14ac:dyDescent="0.3">
      <c r="B513" s="148"/>
      <c r="C513" s="11" t="s">
        <v>7</v>
      </c>
      <c r="D513" s="12" t="s">
        <v>8</v>
      </c>
      <c r="E513" s="12" t="s">
        <v>7</v>
      </c>
      <c r="F513" s="13" t="s">
        <v>8</v>
      </c>
      <c r="G513" s="14" t="s">
        <v>7</v>
      </c>
      <c r="H513" s="15" t="s">
        <v>8</v>
      </c>
      <c r="I513" s="16" t="s">
        <v>9</v>
      </c>
      <c r="J513" s="90" t="s">
        <v>7</v>
      </c>
      <c r="K513" s="91"/>
      <c r="L513" s="92" t="s">
        <v>8</v>
      </c>
      <c r="M513" s="92"/>
      <c r="N513" s="17" t="s">
        <v>9</v>
      </c>
    </row>
    <row r="514" spans="2:14" ht="15.75" thickBot="1" x14ac:dyDescent="0.3">
      <c r="B514" s="18"/>
      <c r="C514" s="19">
        <v>0.32</v>
      </c>
      <c r="D514" s="20">
        <v>0.68</v>
      </c>
      <c r="E514" s="19">
        <v>1</v>
      </c>
      <c r="F514" s="20">
        <v>1</v>
      </c>
      <c r="G514" s="21">
        <f>SUM(G515:G519)</f>
        <v>410</v>
      </c>
      <c r="H514" s="22">
        <f>SUM(H515:H519)</f>
        <v>1685</v>
      </c>
      <c r="I514" s="23">
        <f>SUM(I515:I519)</f>
        <v>2095</v>
      </c>
      <c r="J514" s="21">
        <f>SUM(J515:J519)</f>
        <v>467</v>
      </c>
      <c r="K514" s="24">
        <v>1</v>
      </c>
      <c r="L514" s="25">
        <f>SUM(L515:L519)</f>
        <v>1654</v>
      </c>
      <c r="M514" s="24">
        <v>1</v>
      </c>
      <c r="N514" s="23">
        <f>SUM(N515:N519)</f>
        <v>2121</v>
      </c>
    </row>
    <row r="515" spans="2:14" x14ac:dyDescent="0.25">
      <c r="B515" s="128" t="s">
        <v>96</v>
      </c>
      <c r="C515" s="104">
        <v>0.35</v>
      </c>
      <c r="D515" s="105">
        <v>0.65</v>
      </c>
      <c r="E515" s="99">
        <v>0.2</v>
      </c>
      <c r="F515" s="100">
        <v>0.19</v>
      </c>
      <c r="G515" s="31">
        <v>134</v>
      </c>
      <c r="H515" s="32">
        <v>440</v>
      </c>
      <c r="I515" s="33">
        <v>574</v>
      </c>
      <c r="J515" s="31">
        <v>142</v>
      </c>
      <c r="K515" s="85">
        <f>J515/J514</f>
        <v>0.30406852248394006</v>
      </c>
      <c r="L515" s="32">
        <v>404</v>
      </c>
      <c r="M515" s="85">
        <f>L515/L514</f>
        <v>0.24425634824667472</v>
      </c>
      <c r="N515" s="33">
        <v>546</v>
      </c>
    </row>
    <row r="516" spans="2:14" x14ac:dyDescent="0.25">
      <c r="B516" s="26" t="s">
        <v>12</v>
      </c>
      <c r="C516" s="27">
        <v>0.33</v>
      </c>
      <c r="D516" s="28">
        <v>0.67</v>
      </c>
      <c r="E516" s="29">
        <v>0.27334450224847895</v>
      </c>
      <c r="F516" s="30">
        <v>0.26068216668738864</v>
      </c>
      <c r="G516" s="31">
        <f>[1]ARA_eff_age_2016!$C168</f>
        <v>115</v>
      </c>
      <c r="H516" s="32">
        <f>[1]ARA_eff_age_2016!$B168</f>
        <v>544</v>
      </c>
      <c r="I516" s="33">
        <f t="shared" ref="I516:I519" si="26">G516+H516</f>
        <v>659</v>
      </c>
      <c r="J516" s="31">
        <f>[2]ARA_eff_age_2019!$C168</f>
        <v>124</v>
      </c>
      <c r="K516" s="85">
        <f t="shared" ref="K516:K519" si="27">J516/$J$514</f>
        <v>0.26552462526766596</v>
      </c>
      <c r="L516" s="32">
        <f>[2]ARA_eff_age_2019!$B168</f>
        <v>471</v>
      </c>
      <c r="M516" s="85">
        <f t="shared" ref="M516:M519" si="28">L516/$L$514</f>
        <v>0.28476420798065294</v>
      </c>
      <c r="N516" s="33">
        <f t="shared" ref="N516:N519" si="29">J516+L516</f>
        <v>595</v>
      </c>
    </row>
    <row r="517" spans="2:14" x14ac:dyDescent="0.25">
      <c r="B517" s="26" t="s">
        <v>13</v>
      </c>
      <c r="C517" s="27">
        <v>0.31</v>
      </c>
      <c r="D517" s="28">
        <v>0.69</v>
      </c>
      <c r="E517" s="29">
        <v>0.28189753989947974</v>
      </c>
      <c r="F517" s="30">
        <v>0.28944423722491608</v>
      </c>
      <c r="G517" s="31">
        <f>[1]ARA_eff_age_2016!$C169</f>
        <v>90</v>
      </c>
      <c r="H517" s="32">
        <f>[1]ARA_eff_age_2016!$B169</f>
        <v>411</v>
      </c>
      <c r="I517" s="33">
        <f t="shared" si="26"/>
        <v>501</v>
      </c>
      <c r="J517" s="31">
        <f>[2]ARA_eff_age_2019!$C169</f>
        <v>135</v>
      </c>
      <c r="K517" s="85">
        <f t="shared" si="27"/>
        <v>0.28907922912205569</v>
      </c>
      <c r="L517" s="32">
        <f>[2]ARA_eff_age_2019!$B169</f>
        <v>461</v>
      </c>
      <c r="M517" s="85">
        <f t="shared" si="28"/>
        <v>0.27871825876662637</v>
      </c>
      <c r="N517" s="33">
        <f t="shared" si="29"/>
        <v>596</v>
      </c>
    </row>
    <row r="518" spans="2:14" x14ac:dyDescent="0.25">
      <c r="B518" s="26" t="s">
        <v>14</v>
      </c>
      <c r="C518" s="27">
        <v>0.28999999999999998</v>
      </c>
      <c r="D518" s="28">
        <v>0.71</v>
      </c>
      <c r="E518" s="29">
        <v>0.21241513094083414</v>
      </c>
      <c r="F518" s="30">
        <v>0.23971155041651127</v>
      </c>
      <c r="G518" s="31">
        <f>[1]ARA_eff_age_2016!$C170</f>
        <v>64</v>
      </c>
      <c r="H518" s="32">
        <f>[1]ARA_eff_age_2016!$B170</f>
        <v>264</v>
      </c>
      <c r="I518" s="33">
        <f t="shared" si="26"/>
        <v>328</v>
      </c>
      <c r="J518" s="31">
        <f>[2]ARA_eff_age_2019!$C170</f>
        <v>60</v>
      </c>
      <c r="K518" s="85">
        <f t="shared" si="27"/>
        <v>0.1284796573875803</v>
      </c>
      <c r="L518" s="32">
        <f>[2]ARA_eff_age_2019!$B170</f>
        <v>289</v>
      </c>
      <c r="M518" s="85">
        <f t="shared" si="28"/>
        <v>0.17472793228536881</v>
      </c>
      <c r="N518" s="33">
        <f t="shared" si="29"/>
        <v>349</v>
      </c>
    </row>
    <row r="519" spans="2:14" ht="15.75" thickBot="1" x14ac:dyDescent="0.3">
      <c r="B519" s="36" t="s">
        <v>15</v>
      </c>
      <c r="C519" s="37">
        <v>0.35</v>
      </c>
      <c r="D519" s="38">
        <v>0.65</v>
      </c>
      <c r="E519" s="37">
        <v>2.6981747641301474E-2</v>
      </c>
      <c r="F519" s="38">
        <v>2.3250031082929255E-2</v>
      </c>
      <c r="G519" s="93">
        <f>[1]ARA_eff_age_2016!$C171</f>
        <v>7</v>
      </c>
      <c r="H519" s="94">
        <f>[1]ARA_eff_age_2016!$B171</f>
        <v>26</v>
      </c>
      <c r="I519" s="82">
        <f t="shared" si="26"/>
        <v>33</v>
      </c>
      <c r="J519" s="93">
        <f>[2]ARA_eff_age_2019!$C171</f>
        <v>6</v>
      </c>
      <c r="K519" s="86">
        <f t="shared" si="27"/>
        <v>1.284796573875803E-2</v>
      </c>
      <c r="L519" s="94">
        <f>[2]ARA_eff_age_2019!$B171</f>
        <v>29</v>
      </c>
      <c r="M519" s="86">
        <f t="shared" si="28"/>
        <v>1.7533252720677146E-2</v>
      </c>
      <c r="N519" s="82">
        <f t="shared" si="29"/>
        <v>35</v>
      </c>
    </row>
    <row r="520" spans="2:14" x14ac:dyDescent="0.25">
      <c r="B520" s="44" t="s">
        <v>87</v>
      </c>
      <c r="C520" s="101"/>
      <c r="D520" s="101"/>
      <c r="E520" s="101"/>
      <c r="F520" s="101"/>
      <c r="G520" s="46"/>
      <c r="H520" s="46"/>
      <c r="I520" s="46"/>
      <c r="J520" s="46"/>
      <c r="K520" s="46"/>
      <c r="L520" s="107"/>
      <c r="M520" s="107"/>
      <c r="N520" s="107"/>
    </row>
    <row r="521" spans="2:14" ht="14.45" customHeight="1" x14ac:dyDescent="0.25">
      <c r="B521" s="133" t="s">
        <v>88</v>
      </c>
      <c r="C521" s="133"/>
      <c r="D521" s="133"/>
      <c r="E521" s="133"/>
      <c r="F521" s="133"/>
      <c r="G521" s="133"/>
      <c r="H521" s="133"/>
      <c r="I521" s="133"/>
      <c r="J521" s="133"/>
      <c r="K521" s="120"/>
      <c r="L521" s="107"/>
      <c r="M521" s="107"/>
      <c r="N521" s="107"/>
    </row>
    <row r="522" spans="2:14" x14ac:dyDescent="0.25">
      <c r="B522" s="66" t="s">
        <v>65</v>
      </c>
      <c r="C522" s="48"/>
      <c r="D522" s="48"/>
      <c r="E522" s="48"/>
      <c r="F522" s="48"/>
      <c r="G522" s="48"/>
      <c r="H522" s="48"/>
      <c r="I522" s="48"/>
      <c r="J522" s="48"/>
      <c r="K522" s="48"/>
    </row>
    <row r="523" spans="2:14" x14ac:dyDescent="0.25">
      <c r="B523" s="66" t="s">
        <v>22</v>
      </c>
    </row>
    <row r="524" spans="2:14" x14ac:dyDescent="0.25">
      <c r="B524" s="66"/>
    </row>
    <row r="525" spans="2:14" ht="20.100000000000001" customHeight="1" thickBot="1" x14ac:dyDescent="0.3">
      <c r="B525" s="132" t="s">
        <v>28</v>
      </c>
      <c r="C525" s="132"/>
      <c r="D525" s="132"/>
      <c r="E525" s="132"/>
      <c r="F525" s="132"/>
      <c r="G525" s="132"/>
      <c r="H525" s="132"/>
      <c r="I525" s="132"/>
      <c r="J525" s="132"/>
      <c r="K525" s="132"/>
      <c r="L525" s="132"/>
      <c r="M525" s="132"/>
      <c r="N525" s="132"/>
    </row>
    <row r="526" spans="2:14" ht="29.25" customHeight="1" x14ac:dyDescent="0.25">
      <c r="B526" s="49"/>
      <c r="C526" s="50" t="s">
        <v>17</v>
      </c>
      <c r="D526" s="51"/>
      <c r="E526" s="51"/>
      <c r="F526" s="51"/>
      <c r="G526" s="52"/>
      <c r="H526" s="51"/>
      <c r="I526" s="50" t="s">
        <v>18</v>
      </c>
      <c r="J526" s="51"/>
      <c r="K526" s="51"/>
      <c r="L526" s="51"/>
      <c r="M526" s="52"/>
      <c r="N526" s="52"/>
    </row>
    <row r="527" spans="2:14" x14ac:dyDescent="0.25">
      <c r="B527" s="53"/>
      <c r="C527" s="9">
        <v>2016</v>
      </c>
      <c r="D527" s="9"/>
      <c r="E527" s="9"/>
      <c r="F527" s="10">
        <v>2019</v>
      </c>
      <c r="G527" s="10"/>
      <c r="H527" s="10"/>
      <c r="I527" s="9">
        <v>2016</v>
      </c>
      <c r="J527" s="9"/>
      <c r="K527" s="9"/>
      <c r="L527" s="10">
        <v>2019</v>
      </c>
      <c r="M527" s="10"/>
      <c r="N527" s="10"/>
    </row>
    <row r="528" spans="2:14" ht="15.75" thickBot="1" x14ac:dyDescent="0.3">
      <c r="B528" s="54"/>
      <c r="C528" s="14" t="s">
        <v>7</v>
      </c>
      <c r="D528" s="15" t="s">
        <v>8</v>
      </c>
      <c r="E528" s="16" t="s">
        <v>9</v>
      </c>
      <c r="F528" s="55" t="s">
        <v>7</v>
      </c>
      <c r="G528" s="55" t="s">
        <v>8</v>
      </c>
      <c r="H528" s="17" t="s">
        <v>9</v>
      </c>
      <c r="I528" s="14" t="s">
        <v>7</v>
      </c>
      <c r="J528" s="15" t="s">
        <v>8</v>
      </c>
      <c r="K528" s="16" t="s">
        <v>9</v>
      </c>
      <c r="L528" s="55" t="s">
        <v>7</v>
      </c>
      <c r="M528" s="55" t="s">
        <v>8</v>
      </c>
      <c r="N528" s="17" t="s">
        <v>9</v>
      </c>
    </row>
    <row r="529" spans="2:18" ht="15.75" thickBot="1" x14ac:dyDescent="0.3">
      <c r="B529" s="18"/>
      <c r="C529" s="56">
        <v>39.244785539630094</v>
      </c>
      <c r="D529" s="57">
        <v>71.884629903919944</v>
      </c>
      <c r="E529" s="57">
        <v>61.725686542614433</v>
      </c>
      <c r="F529" s="56">
        <v>40.299999999999997</v>
      </c>
      <c r="G529" s="57">
        <f>L514/([3]NA88_AGE_SEXE!$D$1150+[3]NA88_AGE_SEXE!$D$1152+[3]NA88_AGE_SEXE!$D$1154+[3]NA88_AGE_SEXE!$D$1156+[3]NA88_AGE_SEXE!$D$1158+[3]NA88_AGE_SEXE!$D$1160+[3]NA88_AGE_SEXE!$D$1162+[3]NA88_AGE_SEXE!$D$1164+[3]NA88_AGE_SEXE!$D$1166+[3]NA88_AGE_SEXE!$D$1168+[3]NA88_AGE_SEXE!$D$1170+[3]NA88_AGE_SEXE!$D$1172)*1000</f>
        <v>68.548219984251318</v>
      </c>
      <c r="H529" s="58">
        <v>53.2</v>
      </c>
      <c r="I529" s="56">
        <f>G514/[1]ARA_eff_age_2016!$D$432*1000000</f>
        <v>24.547545332281263</v>
      </c>
      <c r="J529" s="57">
        <f>H514/[1]ARA_eff_age_2016!$B$432*1000000</f>
        <v>42.38302467549758</v>
      </c>
      <c r="K529" s="58">
        <f>I514/[1]ARA_eff_age_2016!$F$432*1000000</f>
        <v>37.106728018346281</v>
      </c>
      <c r="L529" s="57">
        <f>J514/[2]ARA_eff_age_2019!$D$432*1000000</f>
        <v>22.604288807069643</v>
      </c>
      <c r="M529" s="57">
        <f>L514/[2]ARA_eff_age_2019!$B$432*1000000</f>
        <v>31.926656001143218</v>
      </c>
      <c r="N529" s="58">
        <f>N514/[2]ARA_eff_age_2019!$F$432*1000000</f>
        <v>29.268883937202137</v>
      </c>
      <c r="P529" s="62"/>
      <c r="Q529" s="62"/>
      <c r="R529" s="62"/>
    </row>
    <row r="530" spans="2:18" x14ac:dyDescent="0.25">
      <c r="B530" s="128" t="s">
        <v>96</v>
      </c>
      <c r="C530" s="106">
        <v>76.7</v>
      </c>
      <c r="D530" s="107">
        <v>117.4</v>
      </c>
      <c r="E530" s="108">
        <v>104.5</v>
      </c>
      <c r="F530" s="106">
        <v>59.9</v>
      </c>
      <c r="G530" s="107">
        <v>81.2</v>
      </c>
      <c r="H530" s="108">
        <v>74.33294351649279</v>
      </c>
      <c r="I530" s="106">
        <v>42.8</v>
      </c>
      <c r="J530" s="107">
        <v>63.9</v>
      </c>
      <c r="K530" s="108">
        <v>57.3</v>
      </c>
      <c r="L530" s="106">
        <v>33.799999999999997</v>
      </c>
      <c r="M530" s="107">
        <v>44.4</v>
      </c>
      <c r="N530" s="108">
        <v>41.1</v>
      </c>
      <c r="P530" s="62"/>
      <c r="Q530" s="62"/>
      <c r="R530" s="62"/>
    </row>
    <row r="531" spans="2:18" x14ac:dyDescent="0.25">
      <c r="B531" s="26" t="s">
        <v>12</v>
      </c>
      <c r="C531" s="59">
        <v>37.2625323616993</v>
      </c>
      <c r="D531" s="60">
        <v>86.879994594133663</v>
      </c>
      <c r="E531" s="61">
        <v>70.417386966655485</v>
      </c>
      <c r="F531" s="59">
        <f>J516/([3]NA88_AGE_SEXE!$D$1159+[3]NA88_AGE_SEXE!$D$1161)*1000</f>
        <v>40</v>
      </c>
      <c r="G531" s="60">
        <v>62.681323361102976</v>
      </c>
      <c r="H531" s="61">
        <v>55.974712600425228</v>
      </c>
      <c r="I531" s="59">
        <f>G516/[1]ARA_eff_age_2016!$D428*1000000</f>
        <v>25.482398421066279</v>
      </c>
      <c r="J531" s="60">
        <f>H516/[1]ARA_eff_age_2016!$B428*1000000</f>
        <v>51.437663792082915</v>
      </c>
      <c r="K531" s="61">
        <f>I516/[1]ARA_eff_age_2016!$F428*1000000</f>
        <v>43.674700491960046</v>
      </c>
      <c r="L531" s="59">
        <f>J516/[2]ARA_eff_age_2019!$D428*1000000</f>
        <v>22.497176749461019</v>
      </c>
      <c r="M531" s="60">
        <f>L516/[2]ARA_eff_age_2019!$B428*1000000</f>
        <v>34.191683484958084</v>
      </c>
      <c r="N531" s="61">
        <f>N516/[2]ARA_eff_age_2019!$F428*1000000</f>
        <v>30.849663527541786</v>
      </c>
      <c r="P531" s="62"/>
      <c r="Q531" s="62"/>
      <c r="R531" s="62"/>
    </row>
    <row r="532" spans="2:18" x14ac:dyDescent="0.25">
      <c r="B532" s="26" t="s">
        <v>13</v>
      </c>
      <c r="C532" s="59">
        <v>31.521855694894434</v>
      </c>
      <c r="D532" s="60">
        <v>56.286087219210792</v>
      </c>
      <c r="E532" s="61">
        <v>48.737239907082248</v>
      </c>
      <c r="F532" s="59">
        <v>41.810422254294089</v>
      </c>
      <c r="G532" s="60">
        <v>57.194113844821572</v>
      </c>
      <c r="H532" s="61">
        <v>52.794147999004345</v>
      </c>
      <c r="I532" s="59">
        <f>G517/[1]ARA_eff_age_2016!$D429*1000000</f>
        <v>18.23984299143153</v>
      </c>
      <c r="J532" s="60">
        <f>H517/[1]ARA_eff_age_2016!$B429*1000000</f>
        <v>34.284235666332471</v>
      </c>
      <c r="K532" s="61">
        <f>I517/[1]ARA_eff_age_2016!$F429*1000000</f>
        <v>29.605957120409968</v>
      </c>
      <c r="L532" s="59">
        <f>J517/[2]ARA_eff_age_2019!$D429*1000000</f>
        <v>23.226123205984781</v>
      </c>
      <c r="M532" s="60">
        <f>L517/[2]ARA_eff_age_2019!$B429*1000000</f>
        <v>31.186129318879779</v>
      </c>
      <c r="N532" s="61">
        <f>N517/[2]ARA_eff_age_2019!$F429*1000000</f>
        <v>28.939577833798918</v>
      </c>
      <c r="P532" s="62"/>
      <c r="Q532" s="62"/>
      <c r="R532" s="62"/>
    </row>
    <row r="533" spans="2:18" x14ac:dyDescent="0.25">
      <c r="B533" s="26" t="s">
        <v>14</v>
      </c>
      <c r="C533" s="59">
        <v>30.23829729123382</v>
      </c>
      <c r="D533" s="60">
        <v>46.639853471553472</v>
      </c>
      <c r="E533" s="61">
        <v>42.062104902072882</v>
      </c>
      <c r="F533" s="59">
        <v>23.769530631001807</v>
      </c>
      <c r="G533" s="60">
        <v>41.259956284433862</v>
      </c>
      <c r="H533" s="61">
        <v>36.626538393322846</v>
      </c>
      <c r="I533" s="59">
        <f>G518/[1]ARA_eff_age_2016!$D430*1000000</f>
        <v>17.65665800846692</v>
      </c>
      <c r="J533" s="60">
        <f>H518/[1]ARA_eff_age_2016!$B430*1000000</f>
        <v>28.569514661301369</v>
      </c>
      <c r="K533" s="61">
        <f>I518/[1]ARA_eff_age_2016!$F430*1000000</f>
        <v>25.494908247089811</v>
      </c>
      <c r="L533" s="59">
        <f>J518/[2]ARA_eff_age_2019!$D430*1000000</f>
        <v>13.283523808917616</v>
      </c>
      <c r="M533" s="60">
        <f>L518/[2]ARA_eff_age_2019!$B430*1000000</f>
        <v>22.514495166979259</v>
      </c>
      <c r="N533" s="61">
        <f>N518/[2]ARA_eff_age_2019!$F430*1000000</f>
        <v>20.111739731037176</v>
      </c>
      <c r="P533" s="62"/>
      <c r="Q533" s="62"/>
      <c r="R533" s="62"/>
    </row>
    <row r="534" spans="2:18" ht="15.75" thickBot="1" x14ac:dyDescent="0.3">
      <c r="B534" s="36" t="s">
        <v>15</v>
      </c>
      <c r="C534" s="63">
        <v>16.889039013680122</v>
      </c>
      <c r="D534" s="64">
        <v>44.741858926973507</v>
      </c>
      <c r="E534" s="65">
        <v>34.563207465652816</v>
      </c>
      <c r="F534" s="63">
        <v>16.835489211257329</v>
      </c>
      <c r="G534" s="64">
        <v>39.87350474357212</v>
      </c>
      <c r="H534" s="65">
        <v>32.297059122073655</v>
      </c>
      <c r="I534" s="63">
        <f>G519/[1]ARA_eff_age_2016!$D431*1000000</f>
        <v>14.014911866225663</v>
      </c>
      <c r="J534" s="64">
        <f>H519/[1]ARA_eff_age_2016!$B431*1000000</f>
        <v>24.298951874056666</v>
      </c>
      <c r="K534" s="65">
        <f>I519/[1]ARA_eff_age_2016!$F431*1000000</f>
        <v>21.026166107986565</v>
      </c>
      <c r="L534" s="63">
        <f>J519/[2]ARA_eff_age_2019!$D431*1000000</f>
        <v>9.6552589781839426</v>
      </c>
      <c r="M534" s="64">
        <f>L519/[2]ARA_eff_age_2019!$B431*1000000</f>
        <v>21.982545434434527</v>
      </c>
      <c r="N534" s="65">
        <f>N519/[2]ARA_eff_age_2019!$F431*1000000</f>
        <v>18.035180639441762</v>
      </c>
      <c r="P534" s="62"/>
      <c r="Q534" s="62"/>
      <c r="R534" s="62"/>
    </row>
    <row r="535" spans="2:18" x14ac:dyDescent="0.25">
      <c r="B535" s="44" t="s">
        <v>87</v>
      </c>
      <c r="C535" s="101"/>
      <c r="D535" s="101"/>
      <c r="E535" s="101"/>
      <c r="F535" s="101"/>
      <c r="G535" s="46">
        <v>58.482447663689861</v>
      </c>
      <c r="H535" s="46"/>
      <c r="I535" s="46"/>
      <c r="J535" s="46"/>
      <c r="K535" s="46"/>
      <c r="L535" s="107"/>
      <c r="M535" s="107"/>
      <c r="N535" s="107"/>
    </row>
    <row r="536" spans="2:18" ht="14.45" customHeight="1" x14ac:dyDescent="0.25">
      <c r="B536" s="133" t="s">
        <v>88</v>
      </c>
      <c r="C536" s="133"/>
      <c r="D536" s="133"/>
      <c r="E536" s="133"/>
      <c r="F536" s="133"/>
      <c r="G536" s="133"/>
      <c r="H536" s="133"/>
      <c r="I536" s="133"/>
      <c r="J536" s="133"/>
      <c r="K536" s="120"/>
      <c r="L536" s="107"/>
      <c r="M536" s="107"/>
      <c r="N536" s="107"/>
    </row>
    <row r="537" spans="2:18" x14ac:dyDescent="0.25">
      <c r="B537" s="47" t="s">
        <v>66</v>
      </c>
      <c r="C537" s="48"/>
      <c r="D537" s="48"/>
      <c r="E537" s="48"/>
      <c r="F537" s="48"/>
      <c r="G537" s="48"/>
      <c r="H537" s="48"/>
      <c r="I537" s="48"/>
      <c r="J537" s="48"/>
      <c r="K537" s="48"/>
    </row>
    <row r="538" spans="2:18" x14ac:dyDescent="0.25">
      <c r="B538" s="66"/>
    </row>
    <row r="539" spans="2:18" ht="20.100000000000001" customHeight="1" thickBot="1" x14ac:dyDescent="0.3">
      <c r="B539" s="132" t="s">
        <v>28</v>
      </c>
      <c r="C539" s="132"/>
      <c r="D539" s="132"/>
      <c r="E539" s="132"/>
      <c r="F539" s="132"/>
      <c r="G539" s="132"/>
      <c r="H539" s="132"/>
      <c r="I539" s="132"/>
      <c r="J539" s="132"/>
      <c r="K539" s="132"/>
      <c r="L539" s="132"/>
      <c r="M539" s="132"/>
      <c r="N539" s="132"/>
    </row>
    <row r="540" spans="2:18" ht="42.75" customHeight="1" x14ac:dyDescent="0.25">
      <c r="B540" s="49"/>
      <c r="C540" s="67" t="s">
        <v>19</v>
      </c>
      <c r="D540" s="68"/>
      <c r="E540" s="68"/>
      <c r="F540" s="68"/>
      <c r="G540" s="69"/>
      <c r="H540" s="68"/>
      <c r="I540" s="67" t="s">
        <v>20</v>
      </c>
      <c r="J540" s="68"/>
      <c r="K540" s="68"/>
      <c r="L540" s="68"/>
      <c r="M540" s="69"/>
      <c r="N540" s="69"/>
    </row>
    <row r="541" spans="2:18" x14ac:dyDescent="0.25">
      <c r="B541" s="53"/>
      <c r="C541" s="9">
        <v>2016</v>
      </c>
      <c r="D541" s="9"/>
      <c r="E541" s="9"/>
      <c r="F541" s="10">
        <v>2019</v>
      </c>
      <c r="G541" s="10"/>
      <c r="H541" s="10"/>
      <c r="I541" s="9">
        <v>2016</v>
      </c>
      <c r="J541" s="9"/>
      <c r="K541" s="9"/>
      <c r="L541" s="10">
        <v>2019</v>
      </c>
      <c r="M541" s="10"/>
      <c r="N541" s="10"/>
    </row>
    <row r="542" spans="2:18" ht="15.75" thickBot="1" x14ac:dyDescent="0.3">
      <c r="B542" s="54"/>
      <c r="C542" s="14" t="s">
        <v>7</v>
      </c>
      <c r="D542" s="15" t="s">
        <v>8</v>
      </c>
      <c r="E542" s="16" t="s">
        <v>9</v>
      </c>
      <c r="F542" s="55" t="s">
        <v>7</v>
      </c>
      <c r="G542" s="55" t="s">
        <v>8</v>
      </c>
      <c r="H542" s="17" t="s">
        <v>9</v>
      </c>
      <c r="I542" s="14" t="s">
        <v>7</v>
      </c>
      <c r="J542" s="15" t="s">
        <v>8</v>
      </c>
      <c r="K542" s="16" t="s">
        <v>9</v>
      </c>
      <c r="L542" s="55" t="s">
        <v>7</v>
      </c>
      <c r="M542" s="55" t="s">
        <v>8</v>
      </c>
      <c r="N542" s="17" t="s">
        <v>9</v>
      </c>
    </row>
    <row r="543" spans="2:18" ht="15.75" thickBot="1" x14ac:dyDescent="0.3">
      <c r="B543" s="18"/>
      <c r="C543" s="56">
        <v>2.1</v>
      </c>
      <c r="D543" s="57">
        <v>3.3</v>
      </c>
      <c r="E543" s="57">
        <v>2.9</v>
      </c>
      <c r="F543" s="56">
        <v>1.7</v>
      </c>
      <c r="G543" s="57">
        <v>2.5</v>
      </c>
      <c r="H543" s="58">
        <v>2.2999999999999998</v>
      </c>
      <c r="I543" s="56">
        <f>[1]ARA_eff_age_2016!$G$172/[1]ARA_eff_age_2016!$D$432*1000000</f>
        <v>12.633005036856943</v>
      </c>
      <c r="J543" s="57">
        <f>[1]ARA_eff_age_2016!$F$172/[1]ARA_eff_age_2016!$B$432*1000000</f>
        <v>24.398536460078724</v>
      </c>
      <c r="K543" s="58">
        <f>[1]ARA_eff_age_2016!$H$172/[1]ARA_eff_age_2016!$F$432*1000000</f>
        <v>20.917921617979452</v>
      </c>
      <c r="L543" s="57">
        <f>[2]ARA_eff_age_2019!$G$172/[2]ARA_eff_age_2019!$D$432*1000000</f>
        <v>7.2120750155318571</v>
      </c>
      <c r="M543" s="57">
        <f>[2]ARA_eff_age_2019!$F$172/[2]ARA_eff_age_2019!$B$432*1000000</f>
        <v>16.967068092505976</v>
      </c>
      <c r="N543" s="58">
        <f>[2]ARA_eff_age_2019!$H$172/[2]ARA_eff_age_2019!$F$432*1000000</f>
        <v>14.185956005395472</v>
      </c>
      <c r="P543" s="62"/>
      <c r="Q543" s="62"/>
      <c r="R543" s="62"/>
    </row>
    <row r="544" spans="2:18" x14ac:dyDescent="0.25">
      <c r="B544" s="128" t="s">
        <v>96</v>
      </c>
      <c r="C544" s="106">
        <v>2.5</v>
      </c>
      <c r="D544" s="107">
        <v>3.9</v>
      </c>
      <c r="E544" s="108">
        <v>3.4</v>
      </c>
      <c r="F544" s="106">
        <v>2.2000000000000002</v>
      </c>
      <c r="G544" s="107">
        <v>2.2999999999999998</v>
      </c>
      <c r="H544" s="107">
        <v>2.2999999999999998</v>
      </c>
      <c r="I544" s="106">
        <v>8.9</v>
      </c>
      <c r="J544" s="107">
        <v>12.2</v>
      </c>
      <c r="K544" s="107">
        <v>11.2</v>
      </c>
      <c r="L544" s="106">
        <v>0</v>
      </c>
      <c r="M544" s="107">
        <v>8.6999999999999993</v>
      </c>
      <c r="N544" s="108">
        <v>5.9</v>
      </c>
      <c r="P544" s="62"/>
      <c r="Q544" s="62"/>
      <c r="R544" s="62"/>
    </row>
    <row r="545" spans="2:18" x14ac:dyDescent="0.25">
      <c r="B545" s="26" t="s">
        <v>12</v>
      </c>
      <c r="C545" s="59">
        <v>2.2349171345641259</v>
      </c>
      <c r="D545" s="60">
        <v>3.9303481081718945</v>
      </c>
      <c r="E545" s="61">
        <v>3.4232614635981977</v>
      </c>
      <c r="F545" s="59">
        <v>2.0635716802287876</v>
      </c>
      <c r="G545" s="60">
        <v>2.5937041597326274</v>
      </c>
      <c r="H545" s="60">
        <v>2.4422045397273959</v>
      </c>
      <c r="I545" s="59">
        <f>[1]ARA_eff_age_2016!$G168/[1]ARA_eff_age_2016!$D428*1000000</f>
        <v>11.744061881013153</v>
      </c>
      <c r="J545" s="60">
        <f>[1]ARA_eff_age_2016!$F168/[1]ARA_eff_age_2016!$B428*1000000</f>
        <v>30.541112876549231</v>
      </c>
      <c r="K545" s="60">
        <f>[1]ARA_eff_age_2016!$H168/[1]ARA_eff_age_2016!$F428*1000000</f>
        <v>24.919100735928644</v>
      </c>
      <c r="L545" s="59">
        <f>[2]ARA_eff_age_2019!$G168/[2]ARA_eff_age_2019!$D428*1000000</f>
        <v>6.1685807216264079</v>
      </c>
      <c r="M545" s="60">
        <f>[2]ARA_eff_age_2019!$F168/[2]ARA_eff_age_2019!$B428*1000000</f>
        <v>20.398859998456945</v>
      </c>
      <c r="N545" s="61">
        <f>[2]ARA_eff_age_2019!$H168/[2]ARA_eff_age_2019!$F428*1000000</f>
        <v>16.332174808698593</v>
      </c>
      <c r="P545" s="62"/>
      <c r="Q545" s="62"/>
      <c r="R545" s="62"/>
    </row>
    <row r="546" spans="2:18" x14ac:dyDescent="0.25">
      <c r="B546" s="26" t="s">
        <v>13</v>
      </c>
      <c r="C546" s="59">
        <v>1.8772851736625584</v>
      </c>
      <c r="D546" s="60">
        <v>3.1169458635235503</v>
      </c>
      <c r="E546" s="61">
        <v>2.7554813863624679</v>
      </c>
      <c r="F546" s="59">
        <v>1.7235503872411519</v>
      </c>
      <c r="G546" s="60">
        <v>2.8612089833549268</v>
      </c>
      <c r="H546" s="60">
        <v>2.5401277461237037</v>
      </c>
      <c r="I546" s="59">
        <f>[1]ARA_eff_age_2016!$G169/[1]ARA_eff_age_2016!$D429*1000000</f>
        <v>19.455832524193632</v>
      </c>
      <c r="J546" s="60">
        <f>[1]ARA_eff_age_2016!$F169/[1]ARA_eff_age_2016!$B429*1000000</f>
        <v>24.774739642094268</v>
      </c>
      <c r="K546" s="60">
        <f>[1]ARA_eff_age_2016!$H169/[1]ARA_eff_age_2016!$F429*1000000</f>
        <v>23.223834627387461</v>
      </c>
      <c r="L546" s="59">
        <f>[2]ARA_eff_age_2019!$G169/[2]ARA_eff_age_2019!$D429*1000000</f>
        <v>14.279764637753605</v>
      </c>
      <c r="M546" s="60">
        <f>[2]ARA_eff_age_2019!$F169/[2]ARA_eff_age_2019!$B429*1000000</f>
        <v>10.485574933679754</v>
      </c>
      <c r="N546" s="61">
        <f>[2]ARA_eff_age_2019!$H169/[2]ARA_eff_age_2019!$F429*1000000</f>
        <v>11.556408598060642</v>
      </c>
      <c r="P546" s="62"/>
      <c r="Q546" s="62"/>
      <c r="R546" s="62"/>
    </row>
    <row r="547" spans="2:18" x14ac:dyDescent="0.25">
      <c r="B547" s="26" t="s">
        <v>14</v>
      </c>
      <c r="C547" s="59">
        <v>1.8379477445688532</v>
      </c>
      <c r="D547" s="60">
        <v>2.6212529701744005</v>
      </c>
      <c r="E547" s="61">
        <v>2.4005632509241517</v>
      </c>
      <c r="F547" s="59">
        <v>0.97014002217795003</v>
      </c>
      <c r="G547" s="60">
        <v>2.3479735962247523</v>
      </c>
      <c r="H547" s="60">
        <v>1.9893334293840828</v>
      </c>
      <c r="I547" s="59">
        <f>[1]ARA_eff_age_2016!$G170/[1]ARA_eff_age_2016!$D430*1000000</f>
        <v>8.0006731600865724</v>
      </c>
      <c r="J547" s="60">
        <f>[1]ARA_eff_age_2016!$F170/[1]ARA_eff_age_2016!$B430*1000000</f>
        <v>27.162682499949408</v>
      </c>
      <c r="K547" s="60">
        <f>[1]ARA_eff_age_2016!$H170/[1]ARA_eff_age_2016!$F430*1000000</f>
        <v>21.763946064588865</v>
      </c>
      <c r="L547" s="59">
        <f>[2]ARA_eff_age_2019!$G170/[2]ARA_eff_age_2019!$D430*1000000</f>
        <v>7.0845460314227289</v>
      </c>
      <c r="M547" s="60">
        <f>[2]ARA_eff_age_2019!$F170/[2]ARA_eff_age_2019!$B430*1000000</f>
        <v>25.708593097242755</v>
      </c>
      <c r="N547" s="61">
        <f>[2]ARA_eff_age_2019!$H170/[2]ARA_eff_age_2019!$F430*1000000</f>
        <v>20.860887629327959</v>
      </c>
      <c r="P547" s="62"/>
      <c r="Q547" s="62"/>
      <c r="R547" s="62"/>
    </row>
    <row r="548" spans="2:18" ht="15.75" thickBot="1" x14ac:dyDescent="0.3">
      <c r="B548" s="36" t="s">
        <v>15</v>
      </c>
      <c r="C548" s="63">
        <v>1.3514379299574748</v>
      </c>
      <c r="D548" s="64">
        <v>1.8523277928607811</v>
      </c>
      <c r="E548" s="65">
        <v>1.692924949967282</v>
      </c>
      <c r="F548" s="63">
        <v>1.1119639923208506</v>
      </c>
      <c r="G548" s="64">
        <v>2.3680507564542572</v>
      </c>
      <c r="H548" s="64">
        <v>1.9658346896991521</v>
      </c>
      <c r="I548" s="63">
        <f>[1]ARA_eff_age_2016!$G171/[1]ARA_eff_age_2016!$D431*1000000</f>
        <v>10.010651333018332</v>
      </c>
      <c r="J548" s="64">
        <f>[1]ARA_eff_age_2016!$F171/[1]ARA_eff_age_2016!$B431*1000000</f>
        <v>14.018626081186538</v>
      </c>
      <c r="K548" s="65">
        <f>[1]ARA_eff_age_2016!$H171/[1]ARA_eff_age_2016!$F431*1000000</f>
        <v>12.743130974537314</v>
      </c>
      <c r="L548" s="63">
        <f>[2]ARA_eff_age_2019!$G171/[2]ARA_eff_age_2019!$D431*1000000</f>
        <v>0</v>
      </c>
      <c r="M548" s="64">
        <f>[2]ARA_eff_age_2019!$F171/[2]ARA_eff_age_2019!$B431*1000000</f>
        <v>25.772639474854273</v>
      </c>
      <c r="N548" s="65">
        <f>[2]ARA_eff_age_2019!$H171/[2]ARA_eff_age_2019!$F431*1000000</f>
        <v>17.519889764029141</v>
      </c>
      <c r="P548" s="62"/>
      <c r="Q548" s="62"/>
      <c r="R548" s="62"/>
    </row>
    <row r="549" spans="2:18" x14ac:dyDescent="0.25">
      <c r="B549" s="44" t="s">
        <v>87</v>
      </c>
      <c r="C549" s="101"/>
      <c r="D549" s="101"/>
      <c r="E549" s="101"/>
      <c r="F549" s="101"/>
      <c r="G549" s="46"/>
      <c r="H549" s="46"/>
      <c r="I549" s="46"/>
      <c r="J549" s="46"/>
      <c r="K549" s="46"/>
      <c r="L549" s="107"/>
      <c r="M549" s="107"/>
      <c r="N549" s="107"/>
    </row>
    <row r="550" spans="2:18" ht="14.45" customHeight="1" x14ac:dyDescent="0.25">
      <c r="B550" s="133" t="s">
        <v>88</v>
      </c>
      <c r="C550" s="133"/>
      <c r="D550" s="133"/>
      <c r="E550" s="133"/>
      <c r="F550" s="133"/>
      <c r="G550" s="133"/>
      <c r="H550" s="133"/>
      <c r="I550" s="133"/>
      <c r="J550" s="133"/>
      <c r="K550" s="120"/>
      <c r="L550" s="107"/>
      <c r="M550" s="107"/>
      <c r="N550" s="107"/>
    </row>
    <row r="551" spans="2:18" x14ac:dyDescent="0.25">
      <c r="B551" s="113" t="s">
        <v>67</v>
      </c>
      <c r="C551" s="48"/>
      <c r="D551" s="48"/>
      <c r="E551" s="48"/>
      <c r="F551" s="48"/>
      <c r="G551" s="48"/>
      <c r="H551" s="48"/>
      <c r="I551" s="48"/>
      <c r="J551" s="48"/>
      <c r="K551" s="48"/>
    </row>
    <row r="552" spans="2:18" ht="15.75" thickBot="1" x14ac:dyDescent="0.3"/>
    <row r="553" spans="2:18" ht="15" customHeight="1" thickTop="1" x14ac:dyDescent="0.25">
      <c r="B553" s="152" t="s">
        <v>84</v>
      </c>
      <c r="C553" s="136"/>
      <c r="D553" s="136"/>
      <c r="E553" s="136"/>
      <c r="F553" s="136"/>
      <c r="G553" s="153"/>
    </row>
    <row r="554" spans="2:18" x14ac:dyDescent="0.25">
      <c r="B554" s="154"/>
      <c r="C554" s="139"/>
      <c r="D554" s="139"/>
      <c r="E554" s="139"/>
      <c r="F554" s="139"/>
      <c r="G554" s="155"/>
    </row>
    <row r="555" spans="2:18" x14ac:dyDescent="0.25">
      <c r="B555" s="154"/>
      <c r="C555" s="139"/>
      <c r="D555" s="139"/>
      <c r="E555" s="139"/>
      <c r="F555" s="139"/>
      <c r="G555" s="155"/>
    </row>
    <row r="556" spans="2:18" x14ac:dyDescent="0.25">
      <c r="B556" s="154"/>
      <c r="C556" s="139"/>
      <c r="D556" s="139"/>
      <c r="E556" s="139"/>
      <c r="F556" s="139"/>
      <c r="G556" s="155"/>
    </row>
    <row r="557" spans="2:18" x14ac:dyDescent="0.25">
      <c r="B557" s="154"/>
      <c r="C557" s="139"/>
      <c r="D557" s="139"/>
      <c r="E557" s="139"/>
      <c r="F557" s="139"/>
      <c r="G557" s="155"/>
    </row>
    <row r="558" spans="2:18" x14ac:dyDescent="0.25">
      <c r="B558" s="154"/>
      <c r="C558" s="139"/>
      <c r="D558" s="139"/>
      <c r="E558" s="139"/>
      <c r="F558" s="139"/>
      <c r="G558" s="155"/>
    </row>
    <row r="559" spans="2:18" x14ac:dyDescent="0.25">
      <c r="B559" s="154"/>
      <c r="C559" s="139"/>
      <c r="D559" s="139"/>
      <c r="E559" s="139"/>
      <c r="F559" s="139"/>
      <c r="G559" s="155"/>
    </row>
    <row r="560" spans="2:18" x14ac:dyDescent="0.25">
      <c r="B560" s="154"/>
      <c r="C560" s="139"/>
      <c r="D560" s="139"/>
      <c r="E560" s="139"/>
      <c r="F560" s="139"/>
      <c r="G560" s="155"/>
    </row>
    <row r="561" spans="2:7" x14ac:dyDescent="0.25">
      <c r="B561" s="154"/>
      <c r="C561" s="139"/>
      <c r="D561" s="139"/>
      <c r="E561" s="139"/>
      <c r="F561" s="139"/>
      <c r="G561" s="155"/>
    </row>
    <row r="562" spans="2:7" x14ac:dyDescent="0.25">
      <c r="B562" s="154"/>
      <c r="C562" s="139"/>
      <c r="D562" s="139"/>
      <c r="E562" s="139"/>
      <c r="F562" s="139"/>
      <c r="G562" s="155"/>
    </row>
    <row r="563" spans="2:7" x14ac:dyDescent="0.25">
      <c r="B563" s="154"/>
      <c r="C563" s="139"/>
      <c r="D563" s="139"/>
      <c r="E563" s="139"/>
      <c r="F563" s="139"/>
      <c r="G563" s="155"/>
    </row>
    <row r="564" spans="2:7" x14ac:dyDescent="0.25">
      <c r="B564" s="154"/>
      <c r="C564" s="139"/>
      <c r="D564" s="139"/>
      <c r="E564" s="139"/>
      <c r="F564" s="139"/>
      <c r="G564" s="155"/>
    </row>
    <row r="565" spans="2:7" x14ac:dyDescent="0.25">
      <c r="B565" s="154"/>
      <c r="C565" s="139"/>
      <c r="D565" s="139"/>
      <c r="E565" s="139"/>
      <c r="F565" s="139"/>
      <c r="G565" s="155"/>
    </row>
    <row r="566" spans="2:7" x14ac:dyDescent="0.25">
      <c r="B566" s="154"/>
      <c r="C566" s="139"/>
      <c r="D566" s="139"/>
      <c r="E566" s="139"/>
      <c r="F566" s="139"/>
      <c r="G566" s="155"/>
    </row>
    <row r="567" spans="2:7" x14ac:dyDescent="0.25">
      <c r="B567" s="154"/>
      <c r="C567" s="139"/>
      <c r="D567" s="139"/>
      <c r="E567" s="139"/>
      <c r="F567" s="139"/>
      <c r="G567" s="155"/>
    </row>
    <row r="568" spans="2:7" x14ac:dyDescent="0.25">
      <c r="B568" s="154"/>
      <c r="C568" s="139"/>
      <c r="D568" s="139"/>
      <c r="E568" s="139"/>
      <c r="F568" s="139"/>
      <c r="G568" s="155"/>
    </row>
    <row r="569" spans="2:7" x14ac:dyDescent="0.25">
      <c r="B569" s="154"/>
      <c r="C569" s="139"/>
      <c r="D569" s="139"/>
      <c r="E569" s="139"/>
      <c r="F569" s="139"/>
      <c r="G569" s="155"/>
    </row>
    <row r="570" spans="2:7" x14ac:dyDescent="0.25">
      <c r="B570" s="154"/>
      <c r="C570" s="139"/>
      <c r="D570" s="139"/>
      <c r="E570" s="139"/>
      <c r="F570" s="139"/>
      <c r="G570" s="155"/>
    </row>
    <row r="571" spans="2:7" x14ac:dyDescent="0.25">
      <c r="B571" s="154"/>
      <c r="C571" s="139"/>
      <c r="D571" s="139"/>
      <c r="E571" s="139"/>
      <c r="F571" s="139"/>
      <c r="G571" s="155"/>
    </row>
    <row r="572" spans="2:7" x14ac:dyDescent="0.25">
      <c r="B572" s="154"/>
      <c r="C572" s="139"/>
      <c r="D572" s="139"/>
      <c r="E572" s="139"/>
      <c r="F572" s="139"/>
      <c r="G572" s="155"/>
    </row>
    <row r="573" spans="2:7" x14ac:dyDescent="0.25">
      <c r="B573" s="154"/>
      <c r="C573" s="139"/>
      <c r="D573" s="139"/>
      <c r="E573" s="139"/>
      <c r="F573" s="139"/>
      <c r="G573" s="155"/>
    </row>
    <row r="574" spans="2:7" x14ac:dyDescent="0.25">
      <c r="B574" s="154"/>
      <c r="C574" s="139"/>
      <c r="D574" s="139"/>
      <c r="E574" s="139"/>
      <c r="F574" s="139"/>
      <c r="G574" s="155"/>
    </row>
    <row r="575" spans="2:7" x14ac:dyDescent="0.25">
      <c r="B575" s="154"/>
      <c r="C575" s="139"/>
      <c r="D575" s="139"/>
      <c r="E575" s="139"/>
      <c r="F575" s="139"/>
      <c r="G575" s="155"/>
    </row>
    <row r="576" spans="2:7" x14ac:dyDescent="0.25">
      <c r="B576" s="154"/>
      <c r="C576" s="139"/>
      <c r="D576" s="139"/>
      <c r="E576" s="139"/>
      <c r="F576" s="139"/>
      <c r="G576" s="155"/>
    </row>
    <row r="577" spans="2:14" ht="15.75" thickBot="1" x14ac:dyDescent="0.3">
      <c r="B577" s="156"/>
      <c r="C577" s="157"/>
      <c r="D577" s="157"/>
      <c r="E577" s="157"/>
      <c r="F577" s="157"/>
      <c r="G577" s="158"/>
    </row>
    <row r="578" spans="2:14" ht="9.75" customHeight="1" thickTop="1" x14ac:dyDescent="0.25"/>
    <row r="581" spans="2:14" ht="9.75" customHeight="1" x14ac:dyDescent="0.25">
      <c r="B581" s="2"/>
    </row>
    <row r="582" spans="2:14" ht="15.75" customHeight="1" x14ac:dyDescent="0.25">
      <c r="B582" s="3" t="s">
        <v>33</v>
      </c>
      <c r="C582" s="4"/>
      <c r="D582" s="4"/>
      <c r="E582" s="4"/>
      <c r="F582" s="4"/>
    </row>
    <row r="583" spans="2:14" ht="15.75" customHeight="1" x14ac:dyDescent="0.25">
      <c r="B583" s="2"/>
    </row>
    <row r="584" spans="2:14" ht="20.100000000000001" customHeight="1" thickBot="1" x14ac:dyDescent="0.3">
      <c r="B584" s="134" t="s">
        <v>34</v>
      </c>
      <c r="C584" s="134"/>
      <c r="D584" s="134"/>
      <c r="E584" s="134"/>
      <c r="F584" s="134"/>
      <c r="G584" s="134"/>
      <c r="H584" s="134"/>
      <c r="I584" s="134"/>
      <c r="J584" s="134"/>
      <c r="K584" s="134"/>
      <c r="L584" s="134"/>
      <c r="M584" s="134"/>
      <c r="N584" s="134"/>
    </row>
    <row r="585" spans="2:14" ht="15.75" customHeight="1" thickBot="1" x14ac:dyDescent="0.3">
      <c r="C585" s="144" t="s">
        <v>39</v>
      </c>
      <c r="D585" s="145"/>
      <c r="E585" s="145"/>
      <c r="F585" s="146"/>
      <c r="G585" s="5" t="s">
        <v>4</v>
      </c>
      <c r="H585" s="6"/>
      <c r="I585" s="6"/>
      <c r="J585" s="6"/>
      <c r="K585" s="6"/>
      <c r="L585" s="7"/>
      <c r="M585" s="7"/>
      <c r="N585" s="8"/>
    </row>
    <row r="586" spans="2:14" ht="15" customHeight="1" x14ac:dyDescent="0.25">
      <c r="B586" s="147"/>
      <c r="C586" s="149" t="s">
        <v>5</v>
      </c>
      <c r="D586" s="150"/>
      <c r="E586" s="150" t="s">
        <v>6</v>
      </c>
      <c r="F586" s="151"/>
      <c r="G586" s="9">
        <v>2016</v>
      </c>
      <c r="H586" s="9"/>
      <c r="I586" s="9"/>
      <c r="J586" s="10">
        <v>2019</v>
      </c>
      <c r="K586" s="10"/>
      <c r="L586" s="10"/>
      <c r="M586" s="10"/>
      <c r="N586" s="10"/>
    </row>
    <row r="587" spans="2:14" ht="15.75" thickBot="1" x14ac:dyDescent="0.3">
      <c r="B587" s="148"/>
      <c r="C587" s="11" t="s">
        <v>7</v>
      </c>
      <c r="D587" s="12" t="s">
        <v>8</v>
      </c>
      <c r="E587" s="12" t="s">
        <v>7</v>
      </c>
      <c r="F587" s="13" t="s">
        <v>8</v>
      </c>
      <c r="G587" s="14" t="s">
        <v>7</v>
      </c>
      <c r="H587" s="15" t="s">
        <v>8</v>
      </c>
      <c r="I587" s="16" t="s">
        <v>9</v>
      </c>
      <c r="J587" s="90" t="s">
        <v>7</v>
      </c>
      <c r="K587" s="91"/>
      <c r="L587" s="92" t="s">
        <v>8</v>
      </c>
      <c r="M587" s="92"/>
      <c r="N587" s="17" t="s">
        <v>9</v>
      </c>
    </row>
    <row r="588" spans="2:14" ht="15.75" thickBot="1" x14ac:dyDescent="0.3">
      <c r="B588" s="18"/>
      <c r="C588" s="19">
        <v>0.54</v>
      </c>
      <c r="D588" s="20">
        <v>0.46</v>
      </c>
      <c r="E588" s="19">
        <v>1</v>
      </c>
      <c r="F588" s="20">
        <v>1</v>
      </c>
      <c r="G588" s="21">
        <f>SUM(G589:G594)</f>
        <v>1235</v>
      </c>
      <c r="H588" s="22">
        <f>SUM(H589:H594)</f>
        <v>1666</v>
      </c>
      <c r="I588" s="23">
        <f>SUM(I589:I594)</f>
        <v>2901</v>
      </c>
      <c r="J588" s="21">
        <f>SUM(J589:J594)</f>
        <v>1316</v>
      </c>
      <c r="K588" s="24">
        <v>1</v>
      </c>
      <c r="L588" s="25">
        <f>SUM(L589:L594)</f>
        <v>1751</v>
      </c>
      <c r="M588" s="24">
        <v>1</v>
      </c>
      <c r="N588" s="23">
        <f>SUM(N589:N594)</f>
        <v>3067</v>
      </c>
    </row>
    <row r="589" spans="2:14" x14ac:dyDescent="0.25">
      <c r="B589" s="26" t="s">
        <v>10</v>
      </c>
      <c r="C589" s="27">
        <v>0.16</v>
      </c>
      <c r="D589" s="28">
        <v>0.84</v>
      </c>
      <c r="E589" s="29">
        <v>1.0290986515259049E-2</v>
      </c>
      <c r="F589" s="30">
        <v>6.370597243491577E-2</v>
      </c>
      <c r="G589" s="31">
        <f>[1]ARA_eff_age_2016!$C$225</f>
        <v>5</v>
      </c>
      <c r="H589" s="32">
        <f>[1]ARA_eff_age_2016!$B$225</f>
        <v>128</v>
      </c>
      <c r="I589" s="33">
        <f t="shared" ref="I589:I594" si="30">G589+H589</f>
        <v>133</v>
      </c>
      <c r="J589" s="31">
        <f>[2]ARA_eff_age_2019!$C$225</f>
        <v>19</v>
      </c>
      <c r="K589" s="71">
        <f t="shared" ref="K589:K594" si="31">J589/$J$588</f>
        <v>1.4437689969604863E-2</v>
      </c>
      <c r="L589" s="76">
        <f>[2]ARA_eff_age_2019!$B$225</f>
        <v>152</v>
      </c>
      <c r="M589" s="77">
        <f t="shared" ref="M589:M594" si="32">L589/$L$588</f>
        <v>8.6807538549400348E-2</v>
      </c>
      <c r="N589" s="33">
        <f t="shared" ref="N589:N594" si="33">J589+L589</f>
        <v>171</v>
      </c>
    </row>
    <row r="590" spans="2:14" x14ac:dyDescent="0.25">
      <c r="B590" s="26" t="s">
        <v>11</v>
      </c>
      <c r="C590" s="27">
        <v>0.33</v>
      </c>
      <c r="D590" s="28">
        <v>0.67</v>
      </c>
      <c r="E590" s="29">
        <v>0.10419623846699787</v>
      </c>
      <c r="F590" s="30">
        <v>0.23843797856049004</v>
      </c>
      <c r="G590" s="31">
        <f>[1]ARA_eff_age_2016!$C227</f>
        <v>199</v>
      </c>
      <c r="H590" s="32">
        <f>[1]ARA_eff_age_2016!$B227</f>
        <v>537</v>
      </c>
      <c r="I590" s="33">
        <f t="shared" si="30"/>
        <v>736</v>
      </c>
      <c r="J590" s="31">
        <f>[2]ARA_eff_age_2019!$C227</f>
        <v>161</v>
      </c>
      <c r="K590" s="71">
        <f t="shared" si="31"/>
        <v>0.12234042553191489</v>
      </c>
      <c r="L590" s="32">
        <f>[2]ARA_eff_age_2019!$B227</f>
        <v>488</v>
      </c>
      <c r="M590" s="77">
        <f t="shared" si="32"/>
        <v>0.27869788692175901</v>
      </c>
      <c r="N590" s="33">
        <f t="shared" si="33"/>
        <v>649</v>
      </c>
    </row>
    <row r="591" spans="2:14" x14ac:dyDescent="0.25">
      <c r="B591" s="26" t="s">
        <v>12</v>
      </c>
      <c r="C591" s="27">
        <v>0.51</v>
      </c>
      <c r="D591" s="28">
        <v>0.49</v>
      </c>
      <c r="E591" s="29">
        <v>0.20954577714691269</v>
      </c>
      <c r="F591" s="30">
        <v>0.22730985196528841</v>
      </c>
      <c r="G591" s="31">
        <f>[1]ARA_eff_age_2016!$C228</f>
        <v>228</v>
      </c>
      <c r="H591" s="32">
        <f>[1]ARA_eff_age_2016!$B228</f>
        <v>427</v>
      </c>
      <c r="I591" s="33">
        <f t="shared" si="30"/>
        <v>655</v>
      </c>
      <c r="J591" s="31">
        <f>[2]ARA_eff_age_2019!$C228</f>
        <v>253</v>
      </c>
      <c r="K591" s="71">
        <f t="shared" si="31"/>
        <v>0.19224924012158054</v>
      </c>
      <c r="L591" s="32">
        <f>[2]ARA_eff_age_2019!$B228</f>
        <v>435</v>
      </c>
      <c r="M591" s="77">
        <f t="shared" si="32"/>
        <v>0.24842946887492862</v>
      </c>
      <c r="N591" s="33">
        <f t="shared" si="33"/>
        <v>688</v>
      </c>
    </row>
    <row r="592" spans="2:14" x14ac:dyDescent="0.25">
      <c r="B592" s="26" t="s">
        <v>13</v>
      </c>
      <c r="C592" s="27">
        <v>0.61</v>
      </c>
      <c r="D592" s="28">
        <v>0.39</v>
      </c>
      <c r="E592" s="29">
        <v>0.3080642299503194</v>
      </c>
      <c r="F592" s="30">
        <v>0.22884124553343543</v>
      </c>
      <c r="G592" s="31">
        <f>[1]ARA_eff_age_2016!$C229</f>
        <v>342</v>
      </c>
      <c r="H592" s="32">
        <f>[1]ARA_eff_age_2016!$B229</f>
        <v>312</v>
      </c>
      <c r="I592" s="33">
        <f t="shared" si="30"/>
        <v>654</v>
      </c>
      <c r="J592" s="31">
        <f>[2]ARA_eff_age_2019!$C229</f>
        <v>353</v>
      </c>
      <c r="K592" s="71">
        <f t="shared" si="31"/>
        <v>0.2682370820668693</v>
      </c>
      <c r="L592" s="32">
        <f>[2]ARA_eff_age_2019!$B229</f>
        <v>326</v>
      </c>
      <c r="M592" s="77">
        <f t="shared" si="32"/>
        <v>0.18617932609937179</v>
      </c>
      <c r="N592" s="33">
        <f t="shared" si="33"/>
        <v>679</v>
      </c>
    </row>
    <row r="593" spans="2:18" x14ac:dyDescent="0.25">
      <c r="B593" s="26" t="s">
        <v>14</v>
      </c>
      <c r="C593" s="27">
        <v>0.62</v>
      </c>
      <c r="D593" s="28">
        <v>0.38</v>
      </c>
      <c r="E593" s="29">
        <v>0.28770404542228528</v>
      </c>
      <c r="F593" s="30">
        <v>0.20500255232261358</v>
      </c>
      <c r="G593" s="31">
        <f>[1]ARA_eff_age_2016!$C230</f>
        <v>377</v>
      </c>
      <c r="H593" s="32">
        <f>[1]ARA_eff_age_2016!$B230</f>
        <v>225</v>
      </c>
      <c r="I593" s="33">
        <f t="shared" si="30"/>
        <v>602</v>
      </c>
      <c r="J593" s="31">
        <f>[2]ARA_eff_age_2019!$C230</f>
        <v>422</v>
      </c>
      <c r="K593" s="71">
        <f t="shared" si="31"/>
        <v>0.32066869300911854</v>
      </c>
      <c r="L593" s="32">
        <f>[2]ARA_eff_age_2019!$B230</f>
        <v>293</v>
      </c>
      <c r="M593" s="77">
        <f t="shared" si="32"/>
        <v>0.16733295259851513</v>
      </c>
      <c r="N593" s="33">
        <f t="shared" si="33"/>
        <v>715</v>
      </c>
    </row>
    <row r="594" spans="2:18" ht="15.75" thickBot="1" x14ac:dyDescent="0.3">
      <c r="B594" s="36" t="s">
        <v>15</v>
      </c>
      <c r="C594" s="37">
        <v>0.72</v>
      </c>
      <c r="D594" s="38">
        <v>0.28000000000000003</v>
      </c>
      <c r="E594" s="37">
        <v>8.0198722498225697E-2</v>
      </c>
      <c r="F594" s="38">
        <v>3.6702399183256761E-2</v>
      </c>
      <c r="G594" s="93">
        <f>[1]ARA_eff_age_2016!$C231</f>
        <v>84</v>
      </c>
      <c r="H594" s="94">
        <f>[1]ARA_eff_age_2016!$B231</f>
        <v>37</v>
      </c>
      <c r="I594" s="82">
        <f t="shared" si="30"/>
        <v>121</v>
      </c>
      <c r="J594" s="93">
        <f>[2]ARA_eff_age_2019!$C231</f>
        <v>108</v>
      </c>
      <c r="K594" s="72">
        <f t="shared" si="31"/>
        <v>8.2066869300911852E-2</v>
      </c>
      <c r="L594" s="94">
        <f>[2]ARA_eff_age_2019!$B231</f>
        <v>57</v>
      </c>
      <c r="M594" s="78">
        <f t="shared" si="32"/>
        <v>3.2552826956025127E-2</v>
      </c>
      <c r="N594" s="82">
        <f t="shared" si="33"/>
        <v>165</v>
      </c>
    </row>
    <row r="595" spans="2:18" x14ac:dyDescent="0.25">
      <c r="B595" s="44" t="s">
        <v>87</v>
      </c>
      <c r="C595" s="101"/>
      <c r="D595" s="101"/>
      <c r="E595" s="101"/>
      <c r="F595" s="101"/>
      <c r="G595" s="46"/>
      <c r="H595" s="46"/>
      <c r="I595" s="46"/>
      <c r="J595" s="46"/>
      <c r="K595" s="46"/>
      <c r="L595" s="107"/>
      <c r="M595" s="107"/>
      <c r="N595" s="107"/>
    </row>
    <row r="596" spans="2:18" ht="14.45" customHeight="1" x14ac:dyDescent="0.25">
      <c r="B596" s="133" t="s">
        <v>88</v>
      </c>
      <c r="C596" s="133"/>
      <c r="D596" s="133"/>
      <c r="E596" s="133"/>
      <c r="F596" s="133"/>
      <c r="G596" s="133"/>
      <c r="H596" s="133"/>
      <c r="I596" s="133"/>
      <c r="J596" s="133"/>
      <c r="K596" s="120"/>
      <c r="L596" s="107"/>
      <c r="M596" s="107"/>
      <c r="N596" s="107"/>
    </row>
    <row r="597" spans="2:18" x14ac:dyDescent="0.25">
      <c r="B597" s="113" t="s">
        <v>68</v>
      </c>
      <c r="C597" s="48"/>
      <c r="D597" s="48"/>
      <c r="E597" s="48"/>
      <c r="F597" s="48"/>
      <c r="G597" s="48"/>
      <c r="H597" s="48"/>
      <c r="I597" s="48"/>
      <c r="J597" s="48"/>
      <c r="K597" s="48"/>
    </row>
    <row r="598" spans="2:18" x14ac:dyDescent="0.25">
      <c r="B598" s="66" t="s">
        <v>22</v>
      </c>
    </row>
    <row r="599" spans="2:18" x14ac:dyDescent="0.25">
      <c r="B599" s="66"/>
    </row>
    <row r="600" spans="2:18" ht="20.100000000000001" customHeight="1" thickBot="1" x14ac:dyDescent="0.3">
      <c r="B600" s="132" t="s">
        <v>34</v>
      </c>
      <c r="C600" s="132"/>
      <c r="D600" s="132"/>
      <c r="E600" s="132"/>
      <c r="F600" s="132"/>
      <c r="G600" s="132"/>
      <c r="H600" s="132"/>
      <c r="I600" s="132"/>
      <c r="J600" s="132"/>
      <c r="K600" s="132"/>
      <c r="L600" s="132"/>
      <c r="M600" s="132"/>
      <c r="N600" s="132"/>
    </row>
    <row r="601" spans="2:18" ht="29.25" customHeight="1" x14ac:dyDescent="0.25">
      <c r="B601" s="49"/>
      <c r="C601" s="50" t="s">
        <v>17</v>
      </c>
      <c r="D601" s="51"/>
      <c r="E601" s="51"/>
      <c r="F601" s="51"/>
      <c r="G601" s="52"/>
      <c r="H601" s="51"/>
      <c r="I601" s="50" t="s">
        <v>18</v>
      </c>
      <c r="J601" s="51"/>
      <c r="K601" s="51"/>
      <c r="L601" s="51"/>
      <c r="M601" s="52"/>
      <c r="N601" s="52"/>
    </row>
    <row r="602" spans="2:18" x14ac:dyDescent="0.25">
      <c r="B602" s="53"/>
      <c r="C602" s="9">
        <v>2016</v>
      </c>
      <c r="D602" s="9"/>
      <c r="E602" s="9"/>
      <c r="F602" s="10">
        <v>2019</v>
      </c>
      <c r="G602" s="10"/>
      <c r="H602" s="10"/>
      <c r="I602" s="9">
        <v>2016</v>
      </c>
      <c r="J602" s="9"/>
      <c r="K602" s="9"/>
      <c r="L602" s="10">
        <v>2019</v>
      </c>
      <c r="M602" s="10"/>
      <c r="N602" s="10"/>
    </row>
    <row r="603" spans="2:18" ht="15.75" thickBot="1" x14ac:dyDescent="0.3">
      <c r="B603" s="54"/>
      <c r="C603" s="14" t="s">
        <v>7</v>
      </c>
      <c r="D603" s="15" t="s">
        <v>8</v>
      </c>
      <c r="E603" s="16" t="s">
        <v>9</v>
      </c>
      <c r="F603" s="55" t="s">
        <v>7</v>
      </c>
      <c r="G603" s="55" t="s">
        <v>8</v>
      </c>
      <c r="H603" s="17" t="s">
        <v>9</v>
      </c>
      <c r="I603" s="14" t="s">
        <v>7</v>
      </c>
      <c r="J603" s="15" t="s">
        <v>8</v>
      </c>
      <c r="K603" s="16" t="s">
        <v>9</v>
      </c>
      <c r="L603" s="55" t="s">
        <v>7</v>
      </c>
      <c r="M603" s="55" t="s">
        <v>8</v>
      </c>
      <c r="N603" s="17" t="s">
        <v>9</v>
      </c>
    </row>
    <row r="604" spans="2:18" ht="15.75" thickBot="1" x14ac:dyDescent="0.3">
      <c r="B604" s="18"/>
      <c r="C604" s="56">
        <v>58.032736368073316</v>
      </c>
      <c r="D604" s="57">
        <v>43.6</v>
      </c>
      <c r="E604" s="57">
        <v>51.351023960897301</v>
      </c>
      <c r="F604" s="56">
        <f>J588/([3]NA88_AGE_SEXE!$D$1857+[3]NA88_AGE_SEXE!$D$1859+[3]NA88_AGE_SEXE!$D$1861+[3]NA88_AGE_SEXE!$D$1863+[3]NA88_AGE_SEXE!$D$1865+[3]NA88_AGE_SEXE!$D$1867+[3]NA88_AGE_SEXE!$D$1869+[3]NA88_AGE_SEXE!$D$1871+[3]NA88_AGE_SEXE!$D$1873+[3]NA88_AGE_SEXE!$D$1875+[3]NA88_AGE_SEXE!$D$1877)*1000</f>
        <v>58.374733853797018</v>
      </c>
      <c r="G604" s="57">
        <f>L588/([3]NA88_AGE_SEXE!$D$1855+[3]NA88_AGE_SEXE!$D$1856+[3]NA88_AGE_SEXE!$D$1858+[3]NA88_AGE_SEXE!$D$1860+[3]NA88_AGE_SEXE!$D$1862+[3]NA88_AGE_SEXE!$D$1864+[3]NA88_AGE_SEXE!$D$1866+[3]NA88_AGE_SEXE!$D$1868+[3]NA88_AGE_SEXE!$D$1870+[3]NA88_AGE_SEXE!$D$1872+[3]NA88_AGE_SEXE!$D$1874+[3]NA88_AGE_SEXE!$D$1876)*1000</f>
        <v>89.382337927514044</v>
      </c>
      <c r="H604" s="58">
        <f>N588/([3]NA88_AGE_SEXE!$D$1855+[3]NA88_AGE_SEXE!$D$1856+[3]NA88_AGE_SEXE!$D$1857+[3]NA88_AGE_SEXE!$D$1858+[3]NA88_AGE_SEXE!$D$1859+[3]NA88_AGE_SEXE!$D$1860+[3]NA88_AGE_SEXE!$D$1861+[3]NA88_AGE_SEXE!$D$1862+[3]NA88_AGE_SEXE!$D$1863+[3]NA88_AGE_SEXE!$D$1864+[3]NA88_AGE_SEXE!$D$1865+[3]NA88_AGE_SEXE!$D$1866+[3]NA88_AGE_SEXE!$D$1867+[3]NA88_AGE_SEXE!$D$1868+[3]NA88_AGE_SEXE!$D$1869+[3]NA88_AGE_SEXE!$D$1870+[3]NA88_AGE_SEXE!$D$1871+[3]NA88_AGE_SEXE!$D$1872+[3]NA88_AGE_SEXE!$D$1873+[3]NA88_AGE_SEXE!$D$1874+[3]NA88_AGE_SEXE!$D$1875+[3]NA88_AGE_SEXE!$D$1876+[3]NA88_AGE_SEXE!$D$1877)*1000</f>
        <v>72.791569753643131</v>
      </c>
      <c r="I604" s="56">
        <f>G588/[1]ARA_eff_age_2016!$D$492*1000000</f>
        <v>36.49980737854689</v>
      </c>
      <c r="J604" s="57">
        <f>H588/[1]ARA_eff_age_2016!$B$492*1000000</f>
        <v>44.122334219472762</v>
      </c>
      <c r="K604" s="58">
        <f>I588/[1]ARA_eff_age_2016!$F$492*1000000</f>
        <v>40.519900578159479</v>
      </c>
      <c r="L604" s="57">
        <f>J588/[2]ARA_eff_age_2019!$D$492*1000000</f>
        <v>36.335941528688849</v>
      </c>
      <c r="M604" s="57">
        <f>L588/[2]ARA_eff_age_2019!$B$492*1000000</f>
        <v>41.900765357322072</v>
      </c>
      <c r="N604" s="58">
        <f>N588/[2]ARA_eff_age_2019!$F$492*1000000</f>
        <v>39.317086991666272</v>
      </c>
      <c r="P604" s="62"/>
      <c r="Q604" s="62"/>
      <c r="R604" s="62"/>
    </row>
    <row r="605" spans="2:18" x14ac:dyDescent="0.25">
      <c r="B605" s="26" t="s">
        <v>10</v>
      </c>
      <c r="C605" s="59">
        <v>31.282993782504988</v>
      </c>
      <c r="D605" s="60">
        <v>9.296632294951154</v>
      </c>
      <c r="E605" s="61">
        <v>12.932260817836175</v>
      </c>
      <c r="F605" s="59">
        <f>J589/[3]NA88_AGE_SEXE!$D$1857*1000</f>
        <v>81.896551724137922</v>
      </c>
      <c r="G605" s="60">
        <f>L589/([3]NA88_AGE_SEXE!$D$1855+[3]NA88_AGE_SEXE!$D$1856)*1000</f>
        <v>121.7948717948718</v>
      </c>
      <c r="H605" s="61">
        <f>N589/([3]NA88_AGE_SEXE!$D$1855+[3]NA88_AGE_SEXE!$D$1856+[3]NA88_AGE_SEXE!$D$1857)*1000</f>
        <v>115.54054054054053</v>
      </c>
      <c r="I605" s="59">
        <f>G589/[1]ARA_eff_age_2016!$D$485*1000000</f>
        <v>22.054218089751846</v>
      </c>
      <c r="J605" s="60">
        <f>H589/[1]ARA_eff_age_2016!$B$485*1000000</f>
        <v>80.381106923199624</v>
      </c>
      <c r="K605" s="61">
        <f>I589/[1]ARA_eff_age_2016!$F$485*1000000</f>
        <v>73.11195253989824</v>
      </c>
      <c r="L605" s="59">
        <f>J589/[2]ARA_eff_age_2019!$D$485*1000000</f>
        <v>76.084840684150066</v>
      </c>
      <c r="M605" s="60">
        <f>L589/[2]ARA_eff_age_2019!$B$485*1000000</f>
        <v>76.048879656910685</v>
      </c>
      <c r="N605" s="61">
        <f>N589/[2]ARA_eff_age_2019!$F$485*1000000</f>
        <v>76.05287364782383</v>
      </c>
      <c r="P605" s="62"/>
      <c r="Q605" s="62"/>
      <c r="R605" s="62"/>
    </row>
    <row r="606" spans="2:18" x14ac:dyDescent="0.25">
      <c r="B606" s="26" t="s">
        <v>11</v>
      </c>
      <c r="C606" s="59">
        <v>80.640654067562494</v>
      </c>
      <c r="D606" s="60">
        <v>36.665716892072474</v>
      </c>
      <c r="E606" s="61">
        <v>52.329739929724575</v>
      </c>
      <c r="F606" s="59">
        <f>J590/([3]NA88_AGE_SEXE!$D$1858+[3]NA88_AGE_SEXE!$D$1860)*1000</f>
        <v>34.467994005566254</v>
      </c>
      <c r="G606" s="60">
        <f>L590/([3]NA88_AGE_SEXE!$D$1859+[3]NA88_AGE_SEXE!$D$1861)*1000</f>
        <v>207.74797786292041</v>
      </c>
      <c r="H606" s="61">
        <f>N590/([3]NA88_AGE_SEXE!$D$1858+[3]NA88_AGE_SEXE!$D$1859+[3]NA88_AGE_SEXE!$D$1860+[3]NA88_AGE_SEXE!$D$1861)*1000</f>
        <v>92.450142450142451</v>
      </c>
      <c r="I606" s="59">
        <f>G590/[1]ARA_eff_age_2016!$D487*1000000</f>
        <v>49.951454214848482</v>
      </c>
      <c r="J606" s="60">
        <f>H590/[1]ARA_eff_age_2016!$B487*1000000</f>
        <v>58.550232396666559</v>
      </c>
      <c r="K606" s="61">
        <f>I590/[1]ARA_eff_age_2016!$F487*1000000</f>
        <v>55.946268279614614</v>
      </c>
      <c r="L606" s="59">
        <f>J590/[2]ARA_eff_age_2019!$D487*1000000</f>
        <v>40.400382343196078</v>
      </c>
      <c r="M606" s="60">
        <f>L590/[2]ARA_eff_age_2019!$B487*1000000</f>
        <v>51.34591322025733</v>
      </c>
      <c r="N606" s="61">
        <f>N590/[2]ARA_eff_age_2019!$F487*1000000</f>
        <v>48.112295943159559</v>
      </c>
      <c r="P606" s="62"/>
      <c r="Q606" s="62"/>
      <c r="R606" s="62"/>
    </row>
    <row r="607" spans="2:18" x14ac:dyDescent="0.25">
      <c r="B607" s="26" t="s">
        <v>12</v>
      </c>
      <c r="C607" s="59">
        <v>55.062504896310145</v>
      </c>
      <c r="D607" s="60">
        <v>53.096608912889756</v>
      </c>
      <c r="E607" s="61">
        <v>54.123307623788079</v>
      </c>
      <c r="F607" s="59">
        <f>J591/([3]NA88_AGE_SEXE!$D$1863+[3]NA88_AGE_SEXE!$D$1865)*1000</f>
        <v>53.556308213378493</v>
      </c>
      <c r="G607" s="60">
        <f>L591/([3]NA88_AGE_SEXE!$D$1862+[3]NA88_AGE_SEXE!$D$1864)*1000</f>
        <v>97.686952616213787</v>
      </c>
      <c r="H607" s="61">
        <f>N591/([3]NA88_AGE_SEXE!$D$1862+[3]NA88_AGE_SEXE!$D$1863+[3]NA88_AGE_SEXE!$D$1864+[3]NA88_AGE_SEXE!$D$1865)*1000</f>
        <v>74.970033780102426</v>
      </c>
      <c r="I607" s="59">
        <f>G591/[1]ARA_eff_age_2016!$D488*1000000</f>
        <v>37.278773776867901</v>
      </c>
      <c r="J607" s="60">
        <f>H591/[1]ARA_eff_age_2016!$B488*1000000</f>
        <v>46.779590348257003</v>
      </c>
      <c r="K607" s="61">
        <f>I591/[1]ARA_eff_age_2016!$F488*1000000</f>
        <v>42.967743778875203</v>
      </c>
      <c r="L607" s="59">
        <f>J591/[2]ARA_eff_age_2019!$D488*1000000</f>
        <v>37.661365161638777</v>
      </c>
      <c r="M607" s="60">
        <f>L591/[2]ARA_eff_age_2019!$B488*1000000</f>
        <v>43.281438689349685</v>
      </c>
      <c r="N607" s="61">
        <f>N591/[2]ARA_eff_age_2019!$F488*1000000</f>
        <v>41.029904588111656</v>
      </c>
      <c r="P607" s="62"/>
      <c r="Q607" s="62"/>
      <c r="R607" s="62"/>
    </row>
    <row r="608" spans="2:18" x14ac:dyDescent="0.25">
      <c r="B608" s="26" t="s">
        <v>13</v>
      </c>
      <c r="C608" s="59">
        <v>55.697305370589334</v>
      </c>
      <c r="D608" s="60">
        <v>47.049967065023054</v>
      </c>
      <c r="E608" s="61">
        <v>52.255019478573566</v>
      </c>
      <c r="F608" s="59">
        <f>J592/([3]NA88_AGE_SEXE!$D$1867+[3]NA88_AGE_SEXE!$D$1869)*1000</f>
        <v>50.827933765298773</v>
      </c>
      <c r="G608" s="60">
        <f>L592/([3]NA88_AGE_SEXE!$D$1866+[3]NA88_AGE_SEXE!$D$1868)*1000</f>
        <v>72.719161275931299</v>
      </c>
      <c r="H608" s="61">
        <f>N592/([3]NA88_AGE_SEXE!$D$1866+[3]NA88_AGE_SEXE!$D$1867+[3]NA88_AGE_SEXE!$D$1868+[3]NA88_AGE_SEXE!$D$1869)*1000</f>
        <v>59.415470773538672</v>
      </c>
      <c r="I608" s="59">
        <f>G592/[1]ARA_eff_age_2016!$D489*1000000</f>
        <v>33.614472858721221</v>
      </c>
      <c r="J608" s="60">
        <f>H592/[1]ARA_eff_age_2016!$B489*1000000</f>
        <v>35.736600636042766</v>
      </c>
      <c r="K608" s="61">
        <f>I592/[1]ARA_eff_age_2016!$F489*1000000</f>
        <v>34.594509502223097</v>
      </c>
      <c r="L608" s="59">
        <f>J592/[2]ARA_eff_age_2019!$D489*1000000</f>
        <v>33.257592072324648</v>
      </c>
      <c r="M608" s="60">
        <f>L592/[2]ARA_eff_age_2019!$B489*1000000</f>
        <v>35.099277390935057</v>
      </c>
      <c r="N608" s="61">
        <f>N592/[2]ARA_eff_age_2019!$F489*1000000</f>
        <v>34.117074212369282</v>
      </c>
      <c r="P608" s="62"/>
      <c r="Q608" s="62"/>
      <c r="R608" s="62"/>
    </row>
    <row r="609" spans="2:18" x14ac:dyDescent="0.25">
      <c r="B609" s="26" t="s">
        <v>14</v>
      </c>
      <c r="C609" s="59">
        <v>57.751319695697369</v>
      </c>
      <c r="D609" s="60">
        <v>47.650465508393815</v>
      </c>
      <c r="E609" s="61">
        <v>54.152132328119734</v>
      </c>
      <c r="F609" s="59">
        <f>J593/([3]NA88_AGE_SEXE!$D$1871+[3]NA88_AGE_SEXE!$D$1873)*1000</f>
        <v>65.063213074313907</v>
      </c>
      <c r="G609" s="60">
        <f>L593/([3]NA88_AGE_SEXE!$D$1870+[3]NA88_AGE_SEXE!$D$1872)*1000</f>
        <v>72.958167330677298</v>
      </c>
      <c r="H609" s="61">
        <f>N593/([3]NA88_AGE_SEXE!$D$1870+[3]NA88_AGE_SEXE!$D$1871+[3]NA88_AGE_SEXE!$D$1872+[3]NA88_AGE_SEXE!$D$1873)*1000</f>
        <v>68.082270043801188</v>
      </c>
      <c r="I609" s="59">
        <f>G593/[1]ARA_eff_age_2016!$D490*1000000</f>
        <v>36.298821915476317</v>
      </c>
      <c r="J609" s="60">
        <f>H593/[1]ARA_eff_age_2016!$B490*1000000</f>
        <v>30.205307488687776</v>
      </c>
      <c r="K609" s="61">
        <f>I593/[1]ARA_eff_age_2016!$F490*1000000</f>
        <v>33.753790432919835</v>
      </c>
      <c r="L609" s="59">
        <f>J593/[2]ARA_eff_age_2019!$D490*1000000</f>
        <v>37.572654785670885</v>
      </c>
      <c r="M609" s="60">
        <f>L593/[2]ARA_eff_age_2019!$B490*1000000</f>
        <v>33.133818891016375</v>
      </c>
      <c r="N609" s="61">
        <f>N593/[2]ARA_eff_age_2019!$F490*1000000</f>
        <v>35.617323049662041</v>
      </c>
      <c r="P609" s="62"/>
      <c r="Q609" s="62"/>
      <c r="R609" s="62"/>
    </row>
    <row r="610" spans="2:18" ht="15.75" thickBot="1" x14ac:dyDescent="0.3">
      <c r="B610" s="36" t="s">
        <v>15</v>
      </c>
      <c r="C610" s="63">
        <v>45.82837891399128</v>
      </c>
      <c r="D610" s="64">
        <v>51.656031601336977</v>
      </c>
      <c r="E610" s="65">
        <v>47.515970645689244</v>
      </c>
      <c r="F610" s="63">
        <f>J594/([3]NA88_AGE_SEXE!$D$1875+[3]NA88_AGE_SEXE!$D$1877)*1000</f>
        <v>59.734513274336287</v>
      </c>
      <c r="G610" s="64">
        <f>L594/([3]NA88_AGE_SEXE!$D$1874+[3]NA88_AGE_SEXE!$D$1876)*1000</f>
        <v>79.276773296244784</v>
      </c>
      <c r="H610" s="65">
        <f>N594/([3]NA88_AGE_SEXE!$D$1874+[3]NA88_AGE_SEXE!$D$1875+[3]NA88_AGE_SEXE!$D$1876+[3]NA88_AGE_SEXE!$D$1877)*1000</f>
        <v>65.294815987336762</v>
      </c>
      <c r="I610" s="63">
        <f>G594/[1]ARA_eff_age_2016!$D491*1000000</f>
        <v>28.484898425904166</v>
      </c>
      <c r="J610" s="64">
        <f>H594/[1]ARA_eff_age_2016!$B491*1000000</f>
        <v>21.930474468778712</v>
      </c>
      <c r="K610" s="65">
        <f>I594/[1]ARA_eff_age_2016!$F491*1000000</f>
        <v>26.099630269617808</v>
      </c>
      <c r="L610" s="63">
        <f>J594/[2]ARA_eff_age_2019!$D491*1000000</f>
        <v>31.5853984551681</v>
      </c>
      <c r="M610" s="64">
        <f>L594/[2]ARA_eff_age_2019!$B491*1000000</f>
        <v>27.078809954712113</v>
      </c>
      <c r="N610" s="65">
        <f>N594/[2]ARA_eff_age_2019!$F491*1000000</f>
        <v>29.868208214733311</v>
      </c>
      <c r="P610" s="62"/>
      <c r="Q610" s="62"/>
      <c r="R610" s="62"/>
    </row>
    <row r="611" spans="2:18" x14ac:dyDescent="0.25">
      <c r="B611" s="44" t="s">
        <v>87</v>
      </c>
      <c r="C611" s="101"/>
      <c r="D611" s="101"/>
      <c r="E611" s="101"/>
      <c r="F611" s="101"/>
      <c r="G611" s="46"/>
      <c r="H611" s="46"/>
      <c r="I611" s="46"/>
      <c r="J611" s="46"/>
      <c r="K611" s="46"/>
      <c r="L611" s="107"/>
      <c r="M611" s="107"/>
      <c r="N611" s="107"/>
    </row>
    <row r="612" spans="2:18" ht="14.45" customHeight="1" x14ac:dyDescent="0.25">
      <c r="B612" s="133" t="s">
        <v>88</v>
      </c>
      <c r="C612" s="133"/>
      <c r="D612" s="133"/>
      <c r="E612" s="133"/>
      <c r="F612" s="133"/>
      <c r="G612" s="133"/>
      <c r="H612" s="133"/>
      <c r="I612" s="133"/>
      <c r="J612" s="133"/>
      <c r="K612" s="120"/>
      <c r="L612" s="107"/>
      <c r="M612" s="107"/>
      <c r="N612" s="107"/>
    </row>
    <row r="613" spans="2:18" x14ac:dyDescent="0.25">
      <c r="B613" s="47" t="s">
        <v>69</v>
      </c>
      <c r="C613" s="48"/>
      <c r="D613" s="48"/>
      <c r="E613" s="48"/>
      <c r="F613" s="48"/>
      <c r="G613" s="48"/>
      <c r="H613" s="48"/>
      <c r="I613" s="48"/>
      <c r="J613" s="48"/>
      <c r="K613" s="48"/>
    </row>
    <row r="614" spans="2:18" x14ac:dyDescent="0.25">
      <c r="B614" s="66"/>
    </row>
    <row r="615" spans="2:18" ht="20.100000000000001" customHeight="1" thickBot="1" x14ac:dyDescent="0.3">
      <c r="B615" s="132" t="s">
        <v>34</v>
      </c>
      <c r="C615" s="132"/>
      <c r="D615" s="132"/>
      <c r="E615" s="132"/>
      <c r="F615" s="132"/>
      <c r="G615" s="132"/>
      <c r="H615" s="132"/>
      <c r="I615" s="132"/>
      <c r="J615" s="132"/>
      <c r="K615" s="132"/>
      <c r="L615" s="132"/>
      <c r="M615" s="132"/>
      <c r="N615" s="132"/>
    </row>
    <row r="616" spans="2:18" ht="42.75" customHeight="1" x14ac:dyDescent="0.25">
      <c r="B616" s="49"/>
      <c r="C616" s="67" t="s">
        <v>19</v>
      </c>
      <c r="D616" s="68"/>
      <c r="E616" s="68"/>
      <c r="F616" s="68"/>
      <c r="G616" s="69"/>
      <c r="H616" s="68"/>
      <c r="I616" s="67" t="s">
        <v>20</v>
      </c>
      <c r="J616" s="68"/>
      <c r="K616" s="68"/>
      <c r="L616" s="68"/>
      <c r="M616" s="69"/>
      <c r="N616" s="69"/>
    </row>
    <row r="617" spans="2:18" x14ac:dyDescent="0.25">
      <c r="B617" s="53"/>
      <c r="C617" s="9">
        <v>2016</v>
      </c>
      <c r="D617" s="9"/>
      <c r="E617" s="9"/>
      <c r="F617" s="10">
        <v>2019</v>
      </c>
      <c r="G617" s="10"/>
      <c r="H617" s="10"/>
      <c r="I617" s="9">
        <v>2016</v>
      </c>
      <c r="J617" s="9"/>
      <c r="K617" s="9"/>
      <c r="L617" s="10">
        <v>2019</v>
      </c>
      <c r="M617" s="10"/>
      <c r="N617" s="10"/>
    </row>
    <row r="618" spans="2:18" ht="15.75" thickBot="1" x14ac:dyDescent="0.3">
      <c r="B618" s="54"/>
      <c r="C618" s="14" t="s">
        <v>7</v>
      </c>
      <c r="D618" s="15" t="s">
        <v>8</v>
      </c>
      <c r="E618" s="16" t="s">
        <v>9</v>
      </c>
      <c r="F618" s="55" t="s">
        <v>7</v>
      </c>
      <c r="G618" s="55" t="s">
        <v>8</v>
      </c>
      <c r="H618" s="17" t="s">
        <v>9</v>
      </c>
      <c r="I618" s="14" t="s">
        <v>7</v>
      </c>
      <c r="J618" s="15" t="s">
        <v>8</v>
      </c>
      <c r="K618" s="16" t="s">
        <v>9</v>
      </c>
      <c r="L618" s="55" t="s">
        <v>7</v>
      </c>
      <c r="M618" s="55" t="s">
        <v>8</v>
      </c>
      <c r="N618" s="17" t="s">
        <v>9</v>
      </c>
    </row>
    <row r="619" spans="2:18" ht="15.75" thickBot="1" x14ac:dyDescent="0.3">
      <c r="B619" s="18"/>
      <c r="C619" s="56">
        <v>4.4000000000000004</v>
      </c>
      <c r="D619" s="57">
        <v>3.3</v>
      </c>
      <c r="E619" s="57">
        <v>3.8</v>
      </c>
      <c r="F619" s="56">
        <v>4.2</v>
      </c>
      <c r="G619" s="57">
        <v>3.2</v>
      </c>
      <c r="H619" s="58">
        <v>3.7</v>
      </c>
      <c r="I619" s="56">
        <f>[1]ARA_eff_age_2016!$G$232/[1]ARA_eff_age_2016!$D$492*1000000</f>
        <v>36.470252878645233</v>
      </c>
      <c r="J619" s="57">
        <f>[1]ARA_eff_age_2016!$F$232/[1]ARA_eff_age_2016!$B$492*1000000</f>
        <v>32.946088696893234</v>
      </c>
      <c r="K619" s="58">
        <f>[1]ARA_eff_age_2016!$H$232/[1]ARA_eff_age_2016!$F$492*1000000</f>
        <v>34.611621383205517</v>
      </c>
      <c r="L619" s="57">
        <f>[2]ARA_eff_age_2019!$G$232/[2]ARA_eff_age_2019!$D$492*1000000</f>
        <v>32.001030571238879</v>
      </c>
      <c r="M619" s="57">
        <f>[2]ARA_eff_age_2019!$F$232/[2]ARA_eff_age_2019!$B$492*1000000</f>
        <v>40.249621548267122</v>
      </c>
      <c r="N619" s="58">
        <f>[2]ARA_eff_age_2019!$H$232/[2]ARA_eff_age_2019!$F$492*1000000</f>
        <v>36.419903535482199</v>
      </c>
      <c r="P619" s="62"/>
      <c r="Q619" s="62"/>
      <c r="R619" s="62"/>
    </row>
    <row r="620" spans="2:18" x14ac:dyDescent="0.25">
      <c r="B620" s="26" t="s">
        <v>10</v>
      </c>
      <c r="C620" s="59">
        <v>0.8</v>
      </c>
      <c r="D620" s="60">
        <v>2.2000000000000002</v>
      </c>
      <c r="E620" s="60">
        <v>1.9</v>
      </c>
      <c r="F620" s="59">
        <v>1.5</v>
      </c>
      <c r="G620" s="60">
        <v>2.2999999999999998</v>
      </c>
      <c r="H620" s="60">
        <v>2.2000000000000002</v>
      </c>
      <c r="I620" s="59">
        <f>[1]ARA_eff_age_2016!$G$225/[1]ARA_eff_age_2016!$D$485*1000000</f>
        <v>0</v>
      </c>
      <c r="J620" s="60">
        <f>[1]ARA_eff_age_2016!$F$225/[1]ARA_eff_age_2016!$B$485*1000000</f>
        <v>15.699434945937428</v>
      </c>
      <c r="K620" s="60">
        <f>[1]ARA_eff_age_2016!$H$225/[1]ARA_eff_age_2016!$F$485*1000000</f>
        <v>13.742848221785383</v>
      </c>
      <c r="L620" s="59">
        <f>[2]ARA_eff_age_2019!$G$225/[2]ARA_eff_age_2019!$D$485*1000000</f>
        <v>12.01339589749738</v>
      </c>
      <c r="M620" s="87">
        <f>[2]ARA_eff_age_2019!$F$225/[2]ARA_eff_age_2019!$B$485*1000000</f>
        <v>2.0012863067608073</v>
      </c>
      <c r="N620" s="96">
        <f>[2]ARA_eff_age_2019!$H$225/[2]ARA_eff_age_2019!$F$485*1000000</f>
        <v>3.1132755294430807</v>
      </c>
      <c r="P620" s="62"/>
      <c r="Q620" s="62"/>
      <c r="R620" s="62"/>
    </row>
    <row r="621" spans="2:18" x14ac:dyDescent="0.25">
      <c r="B621" s="26" t="s">
        <v>11</v>
      </c>
      <c r="C621" s="59">
        <v>2.8848847401570534</v>
      </c>
      <c r="D621" s="60">
        <v>2.4720845793847692</v>
      </c>
      <c r="E621" s="61">
        <v>2.6</v>
      </c>
      <c r="F621" s="59">
        <v>2.8094576441889649</v>
      </c>
      <c r="G621" s="60">
        <v>2.113389370782969</v>
      </c>
      <c r="H621" s="60">
        <v>2.3190274910538018</v>
      </c>
      <c r="I621" s="59">
        <f>[1]ARA_eff_age_2016!$G227/[1]ARA_eff_age_2016!$D487*1000000</f>
        <v>4.0161973238069137</v>
      </c>
      <c r="J621" s="60">
        <f>[1]ARA_eff_age_2016!$F227/[1]ARA_eff_age_2016!$B487*1000000</f>
        <v>19.407712042098041</v>
      </c>
      <c r="K621" s="60">
        <f>[1]ARA_eff_age_2016!$H227/[1]ARA_eff_age_2016!$F487*1000000</f>
        <v>14.746706584572328</v>
      </c>
      <c r="L621" s="59">
        <f>[2]ARA_eff_age_2019!$G227/[2]ARA_eff_age_2019!$D487*1000000</f>
        <v>7.5280215546328098</v>
      </c>
      <c r="M621" s="60">
        <f>[2]ARA_eff_age_2019!$F227/[2]ARA_eff_age_2019!$B487*1000000</f>
        <v>15.677338257824474</v>
      </c>
      <c r="N621" s="61">
        <f>[2]ARA_eff_age_2019!$H227/[2]ARA_eff_age_2019!$F487*1000000</f>
        <v>13.269801192335226</v>
      </c>
      <c r="P621" s="62"/>
      <c r="Q621" s="62"/>
      <c r="R621" s="62"/>
    </row>
    <row r="622" spans="2:18" x14ac:dyDescent="0.25">
      <c r="B622" s="26" t="s">
        <v>12</v>
      </c>
      <c r="C622" s="59">
        <v>4.0516140973280113</v>
      </c>
      <c r="D622" s="60">
        <v>3.245758602453888</v>
      </c>
      <c r="E622" s="61">
        <v>3.6</v>
      </c>
      <c r="F622" s="59">
        <v>3.5529702121659854</v>
      </c>
      <c r="G622" s="60">
        <v>3.3195370978299539</v>
      </c>
      <c r="H622" s="60">
        <v>3.4130559129096572</v>
      </c>
      <c r="I622" s="59">
        <f>[1]ARA_eff_age_2016!$G228/[1]ARA_eff_age_2016!$D488*1000000</f>
        <v>31.229148207814777</v>
      </c>
      <c r="J622" s="60">
        <f>[1]ARA_eff_age_2016!$F228/[1]ARA_eff_age_2016!$B488*1000000</f>
        <v>36.810169454366168</v>
      </c>
      <c r="K622" s="60">
        <f>[1]ARA_eff_age_2016!$H228/[1]ARA_eff_age_2016!$F488*1000000</f>
        <v>34.570993849568289</v>
      </c>
      <c r="L622" s="59">
        <f>[2]ARA_eff_age_2019!$G228/[2]ARA_eff_age_2019!$D488*1000000</f>
        <v>15.630210837834273</v>
      </c>
      <c r="M622" s="60">
        <f>[2]ARA_eff_age_2019!$F228/[2]ARA_eff_age_2019!$B488*1000000</f>
        <v>28.157809538128646</v>
      </c>
      <c r="N622" s="61">
        <f>[2]ARA_eff_age_2019!$H228/[2]ARA_eff_age_2019!$F488*1000000</f>
        <v>23.13895782003971</v>
      </c>
      <c r="P622" s="62"/>
      <c r="Q622" s="62"/>
      <c r="R622" s="62"/>
    </row>
    <row r="623" spans="2:18" x14ac:dyDescent="0.25">
      <c r="B623" s="26" t="s">
        <v>13</v>
      </c>
      <c r="C623" s="59">
        <v>4.5062068337830175</v>
      </c>
      <c r="D623" s="60">
        <v>3.9986048980905542</v>
      </c>
      <c r="E623" s="61">
        <v>4.3</v>
      </c>
      <c r="F623" s="59">
        <v>4.5984980451239217</v>
      </c>
      <c r="G623" s="60">
        <v>3.8619971779534978</v>
      </c>
      <c r="H623" s="60">
        <v>4.2547860468006036</v>
      </c>
      <c r="I623" s="59">
        <f>[1]ARA_eff_age_2016!$G229/[1]ARA_eff_age_2016!$D489*1000000</f>
        <v>34.597352182075646</v>
      </c>
      <c r="J623" s="60">
        <f>[1]ARA_eff_age_2016!$F229/[1]ARA_eff_age_2016!$B489*1000000</f>
        <v>34.018494836233018</v>
      </c>
      <c r="K623" s="60">
        <f>[1]ARA_eff_age_2016!$H229/[1]ARA_eff_age_2016!$F489*1000000</f>
        <v>34.330025484621999</v>
      </c>
      <c r="L623" s="59">
        <f>[2]ARA_eff_age_2019!$G229/[2]ARA_eff_age_2019!$D489*1000000</f>
        <v>25.437818298945199</v>
      </c>
      <c r="M623" s="60">
        <f>[2]ARA_eff_age_2019!$F229/[2]ARA_eff_age_2019!$B489*1000000</f>
        <v>66.32256095955826</v>
      </c>
      <c r="N623" s="61">
        <f>[2]ARA_eff_age_2019!$H229/[2]ARA_eff_age_2019!$F489*1000000</f>
        <v>44.518008471515728</v>
      </c>
      <c r="P623" s="62"/>
      <c r="Q623" s="62"/>
      <c r="R623" s="62"/>
    </row>
    <row r="624" spans="2:18" x14ac:dyDescent="0.25">
      <c r="B624" s="26" t="s">
        <v>14</v>
      </c>
      <c r="C624" s="59">
        <v>4.993639522080275</v>
      </c>
      <c r="D624" s="60">
        <v>3.5470428198493709</v>
      </c>
      <c r="E624" s="61">
        <v>4.4000000000000004</v>
      </c>
      <c r="F624" s="59">
        <v>4.885157413001517</v>
      </c>
      <c r="G624" s="60">
        <v>3.8166088313030806</v>
      </c>
      <c r="H624" s="60">
        <v>4.4144558583662716</v>
      </c>
      <c r="I624" s="59">
        <f>[1]ARA_eff_age_2016!$G230/[1]ARA_eff_age_2016!$D490*1000000</f>
        <v>47.563973544417237</v>
      </c>
      <c r="J624" s="60">
        <f>[1]ARA_eff_age_2016!$F230/[1]ARA_eff_age_2016!$B490*1000000</f>
        <v>40.139497507189532</v>
      </c>
      <c r="K624" s="60">
        <f>[1]ARA_eff_age_2016!$H230/[1]ARA_eff_age_2016!$F490*1000000</f>
        <v>44.463049523763175</v>
      </c>
      <c r="L624" s="59">
        <f>[2]ARA_eff_age_2019!$G230/[2]ARA_eff_age_2019!$D490*1000000</f>
        <v>53.420836188157665</v>
      </c>
      <c r="M624" s="60">
        <f>[2]ARA_eff_age_2019!$F230/[2]ARA_eff_age_2019!$B490*1000000</f>
        <v>65.702214251469329</v>
      </c>
      <c r="N624" s="61">
        <f>[2]ARA_eff_age_2019!$H230/[2]ARA_eff_age_2019!$F490*1000000</f>
        <v>58.830851079231991</v>
      </c>
      <c r="P624" s="62"/>
      <c r="Q624" s="62"/>
      <c r="R624" s="62"/>
    </row>
    <row r="625" spans="2:18" ht="15.75" thickBot="1" x14ac:dyDescent="0.3">
      <c r="B625" s="36" t="s">
        <v>15</v>
      </c>
      <c r="C625" s="63">
        <v>5.509114997943322</v>
      </c>
      <c r="D625" s="64">
        <v>3.6606110897074946</v>
      </c>
      <c r="E625" s="65">
        <v>4.8</v>
      </c>
      <c r="F625" s="63">
        <v>3.7510585239443155</v>
      </c>
      <c r="G625" s="64">
        <v>2.5857888172543513</v>
      </c>
      <c r="H625" s="64">
        <v>3.3070442174240173</v>
      </c>
      <c r="I625" s="63">
        <f>[1]ARA_eff_age_2016!$G231/[1]ARA_eff_age_2016!$D491*1000000</f>
        <v>61.378173989150653</v>
      </c>
      <c r="J625" s="64">
        <f>[1]ARA_eff_age_2016!$F231/[1]ARA_eff_age_2016!$B491*1000000</f>
        <v>64.605992353969711</v>
      </c>
      <c r="K625" s="65">
        <f>[1]ARA_eff_age_2016!$H231/[1]ARA_eff_age_2016!$F491*1000000</f>
        <v>62.552832877596408</v>
      </c>
      <c r="L625" s="63">
        <f>[2]ARA_eff_age_2019!$G231/[2]ARA_eff_age_2019!$D491*1000000</f>
        <v>44.161066358614661</v>
      </c>
      <c r="M625" s="64">
        <f>[2]ARA_eff_age_2019!$F231/[2]ARA_eff_age_2019!$B491*1000000</f>
        <v>23.278275224226203</v>
      </c>
      <c r="N625" s="65">
        <f>[2]ARA_eff_age_2019!$H231/[2]ARA_eff_age_2019!$F491*1000000</f>
        <v>36.203888745131287</v>
      </c>
      <c r="P625" s="62"/>
      <c r="Q625" s="62"/>
      <c r="R625" s="62"/>
    </row>
    <row r="626" spans="2:18" x14ac:dyDescent="0.25">
      <c r="B626" s="44" t="s">
        <v>87</v>
      </c>
      <c r="C626" s="101"/>
      <c r="D626" s="101"/>
      <c r="E626" s="101"/>
      <c r="F626" s="101"/>
      <c r="G626" s="46"/>
      <c r="H626" s="46"/>
      <c r="I626" s="46"/>
      <c r="J626" s="46"/>
      <c r="K626" s="46"/>
      <c r="L626" s="107"/>
      <c r="M626" s="107"/>
      <c r="N626" s="107"/>
    </row>
    <row r="627" spans="2:18" ht="14.45" customHeight="1" x14ac:dyDescent="0.25">
      <c r="B627" s="133" t="s">
        <v>88</v>
      </c>
      <c r="C627" s="133"/>
      <c r="D627" s="133"/>
      <c r="E627" s="133"/>
      <c r="F627" s="133"/>
      <c r="G627" s="133"/>
      <c r="H627" s="133"/>
      <c r="I627" s="133"/>
      <c r="J627" s="133"/>
      <c r="K627" s="120"/>
      <c r="L627" s="107"/>
      <c r="M627" s="107"/>
      <c r="N627" s="107"/>
    </row>
    <row r="628" spans="2:18" x14ac:dyDescent="0.25">
      <c r="B628" s="47" t="s">
        <v>70</v>
      </c>
      <c r="C628" s="48"/>
      <c r="D628" s="48"/>
      <c r="E628" s="48"/>
      <c r="F628" s="48"/>
      <c r="G628" s="48"/>
      <c r="H628" s="48"/>
      <c r="I628" s="48"/>
      <c r="J628" s="48"/>
      <c r="K628" s="48"/>
    </row>
    <row r="629" spans="2:18" ht="15.75" thickBot="1" x14ac:dyDescent="0.3"/>
    <row r="630" spans="2:18" ht="15" customHeight="1" thickTop="1" x14ac:dyDescent="0.25">
      <c r="B630" s="135" t="s">
        <v>85</v>
      </c>
      <c r="C630" s="136"/>
      <c r="D630" s="136"/>
      <c r="E630" s="136"/>
      <c r="F630" s="136"/>
      <c r="G630" s="137"/>
    </row>
    <row r="631" spans="2:18" x14ac:dyDescent="0.25">
      <c r="B631" s="138"/>
      <c r="C631" s="139"/>
      <c r="D631" s="139"/>
      <c r="E631" s="139"/>
      <c r="F631" s="139"/>
      <c r="G631" s="140"/>
    </row>
    <row r="632" spans="2:18" x14ac:dyDescent="0.25">
      <c r="B632" s="138"/>
      <c r="C632" s="139"/>
      <c r="D632" s="139"/>
      <c r="E632" s="139"/>
      <c r="F632" s="139"/>
      <c r="G632" s="140"/>
    </row>
    <row r="633" spans="2:18" x14ac:dyDescent="0.25">
      <c r="B633" s="138"/>
      <c r="C633" s="139"/>
      <c r="D633" s="139"/>
      <c r="E633" s="139"/>
      <c r="F633" s="139"/>
      <c r="G633" s="140"/>
    </row>
    <row r="634" spans="2:18" x14ac:dyDescent="0.25">
      <c r="B634" s="138"/>
      <c r="C634" s="139"/>
      <c r="D634" s="139"/>
      <c r="E634" s="139"/>
      <c r="F634" s="139"/>
      <c r="G634" s="140"/>
    </row>
    <row r="635" spans="2:18" x14ac:dyDescent="0.25">
      <c r="B635" s="138"/>
      <c r="C635" s="139"/>
      <c r="D635" s="139"/>
      <c r="E635" s="139"/>
      <c r="F635" s="139"/>
      <c r="G635" s="140"/>
    </row>
    <row r="636" spans="2:18" x14ac:dyDescent="0.25">
      <c r="B636" s="138"/>
      <c r="C636" s="139"/>
      <c r="D636" s="139"/>
      <c r="E636" s="139"/>
      <c r="F636" s="139"/>
      <c r="G636" s="140"/>
    </row>
    <row r="637" spans="2:18" x14ac:dyDescent="0.25">
      <c r="B637" s="138"/>
      <c r="C637" s="139"/>
      <c r="D637" s="139"/>
      <c r="E637" s="139"/>
      <c r="F637" s="139"/>
      <c r="G637" s="140"/>
    </row>
    <row r="638" spans="2:18" x14ac:dyDescent="0.25">
      <c r="B638" s="138"/>
      <c r="C638" s="139"/>
      <c r="D638" s="139"/>
      <c r="E638" s="139"/>
      <c r="F638" s="139"/>
      <c r="G638" s="140"/>
    </row>
    <row r="639" spans="2:18" x14ac:dyDescent="0.25">
      <c r="B639" s="138"/>
      <c r="C639" s="139"/>
      <c r="D639" s="139"/>
      <c r="E639" s="139"/>
      <c r="F639" s="139"/>
      <c r="G639" s="140"/>
    </row>
    <row r="640" spans="2:18" x14ac:dyDescent="0.25">
      <c r="B640" s="138"/>
      <c r="C640" s="139"/>
      <c r="D640" s="139"/>
      <c r="E640" s="139"/>
      <c r="F640" s="139"/>
      <c r="G640" s="140"/>
    </row>
    <row r="641" spans="2:7" x14ac:dyDescent="0.25">
      <c r="B641" s="138"/>
      <c r="C641" s="139"/>
      <c r="D641" s="139"/>
      <c r="E641" s="139"/>
      <c r="F641" s="139"/>
      <c r="G641" s="140"/>
    </row>
    <row r="642" spans="2:7" x14ac:dyDescent="0.25">
      <c r="B642" s="138"/>
      <c r="C642" s="139"/>
      <c r="D642" s="139"/>
      <c r="E642" s="139"/>
      <c r="F642" s="139"/>
      <c r="G642" s="140"/>
    </row>
    <row r="643" spans="2:7" x14ac:dyDescent="0.25">
      <c r="B643" s="138"/>
      <c r="C643" s="139"/>
      <c r="D643" s="139"/>
      <c r="E643" s="139"/>
      <c r="F643" s="139"/>
      <c r="G643" s="140"/>
    </row>
    <row r="644" spans="2:7" x14ac:dyDescent="0.25">
      <c r="B644" s="138"/>
      <c r="C644" s="139"/>
      <c r="D644" s="139"/>
      <c r="E644" s="139"/>
      <c r="F644" s="139"/>
      <c r="G644" s="140"/>
    </row>
    <row r="645" spans="2:7" x14ac:dyDescent="0.25">
      <c r="B645" s="138"/>
      <c r="C645" s="139"/>
      <c r="D645" s="139"/>
      <c r="E645" s="139"/>
      <c r="F645" s="139"/>
      <c r="G645" s="140"/>
    </row>
    <row r="646" spans="2:7" x14ac:dyDescent="0.25">
      <c r="B646" s="138"/>
      <c r="C646" s="139"/>
      <c r="D646" s="139"/>
      <c r="E646" s="139"/>
      <c r="F646" s="139"/>
      <c r="G646" s="140"/>
    </row>
    <row r="647" spans="2:7" x14ac:dyDescent="0.25">
      <c r="B647" s="138"/>
      <c r="C647" s="139"/>
      <c r="D647" s="139"/>
      <c r="E647" s="139"/>
      <c r="F647" s="139"/>
      <c r="G647" s="140"/>
    </row>
    <row r="648" spans="2:7" x14ac:dyDescent="0.25">
      <c r="B648" s="138"/>
      <c r="C648" s="139"/>
      <c r="D648" s="139"/>
      <c r="E648" s="139"/>
      <c r="F648" s="139"/>
      <c r="G648" s="140"/>
    </row>
    <row r="649" spans="2:7" x14ac:dyDescent="0.25">
      <c r="B649" s="138"/>
      <c r="C649" s="139"/>
      <c r="D649" s="139"/>
      <c r="E649" s="139"/>
      <c r="F649" s="139"/>
      <c r="G649" s="140"/>
    </row>
    <row r="650" spans="2:7" x14ac:dyDescent="0.25">
      <c r="B650" s="138"/>
      <c r="C650" s="139"/>
      <c r="D650" s="139"/>
      <c r="E650" s="139"/>
      <c r="F650" s="139"/>
      <c r="G650" s="140"/>
    </row>
    <row r="651" spans="2:7" x14ac:dyDescent="0.25">
      <c r="B651" s="138"/>
      <c r="C651" s="139"/>
      <c r="D651" s="139"/>
      <c r="E651" s="139"/>
      <c r="F651" s="139"/>
      <c r="G651" s="140"/>
    </row>
    <row r="652" spans="2:7" x14ac:dyDescent="0.25">
      <c r="B652" s="138"/>
      <c r="C652" s="139"/>
      <c r="D652" s="139"/>
      <c r="E652" s="139"/>
      <c r="F652" s="139"/>
      <c r="G652" s="140"/>
    </row>
    <row r="653" spans="2:7" x14ac:dyDescent="0.25">
      <c r="B653" s="138"/>
      <c r="C653" s="139"/>
      <c r="D653" s="139"/>
      <c r="E653" s="139"/>
      <c r="F653" s="139"/>
      <c r="G653" s="140"/>
    </row>
    <row r="654" spans="2:7" x14ac:dyDescent="0.25">
      <c r="B654" s="138"/>
      <c r="C654" s="139"/>
      <c r="D654" s="139"/>
      <c r="E654" s="139"/>
      <c r="F654" s="139"/>
      <c r="G654" s="140"/>
    </row>
    <row r="655" spans="2:7" ht="15.75" thickBot="1" x14ac:dyDescent="0.3">
      <c r="B655" s="141"/>
      <c r="C655" s="142"/>
      <c r="D655" s="142"/>
      <c r="E655" s="142"/>
      <c r="F655" s="142"/>
      <c r="G655" s="143"/>
    </row>
    <row r="656" spans="2:7" ht="15.75" thickTop="1" x14ac:dyDescent="0.25"/>
    <row r="658" spans="2:14" x14ac:dyDescent="0.25">
      <c r="B658" s="2"/>
    </row>
    <row r="659" spans="2:14" ht="9.75" customHeight="1" x14ac:dyDescent="0.25">
      <c r="B659" s="2"/>
    </row>
    <row r="660" spans="2:14" ht="15.75" customHeight="1" x14ac:dyDescent="0.25">
      <c r="B660" s="3" t="s">
        <v>35</v>
      </c>
      <c r="C660" s="4"/>
      <c r="D660" s="4"/>
    </row>
    <row r="661" spans="2:14" ht="15.75" customHeight="1" x14ac:dyDescent="0.25">
      <c r="B661" s="2"/>
    </row>
    <row r="662" spans="2:14" ht="20.100000000000001" customHeight="1" thickBot="1" x14ac:dyDescent="0.3">
      <c r="B662" s="2"/>
      <c r="C662" s="132" t="s">
        <v>36</v>
      </c>
      <c r="D662" s="132"/>
      <c r="E662" s="132"/>
      <c r="F662" s="132"/>
      <c r="G662" s="132"/>
      <c r="H662" s="132"/>
      <c r="I662" s="132"/>
      <c r="J662" s="132"/>
      <c r="K662" s="132"/>
      <c r="L662" s="132"/>
      <c r="M662" s="132"/>
      <c r="N662" s="132"/>
    </row>
    <row r="663" spans="2:14" ht="15.75" customHeight="1" thickBot="1" x14ac:dyDescent="0.3">
      <c r="C663" s="144" t="s">
        <v>39</v>
      </c>
      <c r="D663" s="145"/>
      <c r="E663" s="145"/>
      <c r="F663" s="146"/>
      <c r="G663" s="5" t="s">
        <v>4</v>
      </c>
      <c r="H663" s="6"/>
      <c r="I663" s="6"/>
      <c r="J663" s="6"/>
      <c r="K663" s="6"/>
      <c r="L663" s="7"/>
      <c r="M663" s="7"/>
      <c r="N663" s="8"/>
    </row>
    <row r="664" spans="2:14" ht="15" customHeight="1" x14ac:dyDescent="0.25">
      <c r="B664" s="147"/>
      <c r="C664" s="149" t="s">
        <v>5</v>
      </c>
      <c r="D664" s="150"/>
      <c r="E664" s="150" t="s">
        <v>6</v>
      </c>
      <c r="F664" s="151"/>
      <c r="G664" s="9">
        <v>2016</v>
      </c>
      <c r="H664" s="9"/>
      <c r="I664" s="9"/>
      <c r="J664" s="10">
        <v>2019</v>
      </c>
      <c r="K664" s="10"/>
      <c r="L664" s="10"/>
      <c r="M664" s="10"/>
      <c r="N664" s="10"/>
    </row>
    <row r="665" spans="2:14" ht="15.75" thickBot="1" x14ac:dyDescent="0.3">
      <c r="B665" s="148"/>
      <c r="C665" s="11" t="s">
        <v>7</v>
      </c>
      <c r="D665" s="12" t="s">
        <v>8</v>
      </c>
      <c r="E665" s="12" t="s">
        <v>7</v>
      </c>
      <c r="F665" s="13" t="s">
        <v>8</v>
      </c>
      <c r="G665" s="14" t="s">
        <v>7</v>
      </c>
      <c r="H665" s="15" t="s">
        <v>8</v>
      </c>
      <c r="I665" s="16" t="s">
        <v>9</v>
      </c>
      <c r="J665" s="90" t="s">
        <v>7</v>
      </c>
      <c r="K665" s="91"/>
      <c r="L665" s="92" t="s">
        <v>8</v>
      </c>
      <c r="M665" s="92"/>
      <c r="N665" s="17" t="s">
        <v>9</v>
      </c>
    </row>
    <row r="666" spans="2:14" ht="15.75" thickBot="1" x14ac:dyDescent="0.3">
      <c r="B666" s="18"/>
      <c r="C666" s="19">
        <v>0.49</v>
      </c>
      <c r="D666" s="20">
        <v>0.51</v>
      </c>
      <c r="E666" s="19">
        <v>1</v>
      </c>
      <c r="F666" s="20">
        <v>1</v>
      </c>
      <c r="G666" s="21">
        <f>SUM(G667:G672)</f>
        <v>2008</v>
      </c>
      <c r="H666" s="22">
        <f>SUM(H667:H672)</f>
        <v>1942</v>
      </c>
      <c r="I666" s="23">
        <f>SUM(I667:I672)</f>
        <v>3950</v>
      </c>
      <c r="J666" s="21">
        <f>SUM(J667:J672)</f>
        <v>1962</v>
      </c>
      <c r="K666" s="24">
        <v>1</v>
      </c>
      <c r="L666" s="25">
        <f>SUM(L667:L672)</f>
        <v>1913</v>
      </c>
      <c r="M666" s="24">
        <v>1</v>
      </c>
      <c r="N666" s="23">
        <f>SUM(N667:N672)</f>
        <v>3875</v>
      </c>
    </row>
    <row r="667" spans="2:14" x14ac:dyDescent="0.25">
      <c r="B667" s="26" t="s">
        <v>10</v>
      </c>
      <c r="C667" s="27">
        <v>0.48</v>
      </c>
      <c r="D667" s="28">
        <v>0.52</v>
      </c>
      <c r="E667" s="29">
        <v>8.1857123117313801E-2</v>
      </c>
      <c r="F667" s="30">
        <v>8.7727785840993389E-2</v>
      </c>
      <c r="G667" s="31">
        <f>[1]ARA_eff_age_2016!$C$185</f>
        <v>171</v>
      </c>
      <c r="H667" s="32">
        <f>[1]ARA_eff_age_2016!$B$185</f>
        <v>217</v>
      </c>
      <c r="I667" s="33">
        <f t="shared" ref="I667:I672" si="34">G667+H667</f>
        <v>388</v>
      </c>
      <c r="J667" s="31">
        <f>[2]ARA_eff_age_2019!$C$185</f>
        <v>181</v>
      </c>
      <c r="K667" s="71">
        <f t="shared" ref="K667:K672" si="35">J667/$J$666</f>
        <v>9.2252803261977573E-2</v>
      </c>
      <c r="L667" s="76">
        <f>[2]ARA_eff_age_2019!$B$185</f>
        <v>209</v>
      </c>
      <c r="M667" s="77">
        <f t="shared" ref="M667:M672" si="36">L667/$L$666</f>
        <v>0.10925248301097752</v>
      </c>
      <c r="N667" s="33">
        <f t="shared" ref="N667:N672" si="37">J667+L667</f>
        <v>390</v>
      </c>
    </row>
    <row r="668" spans="2:14" x14ac:dyDescent="0.25">
      <c r="B668" s="26" t="s">
        <v>11</v>
      </c>
      <c r="C668" s="27">
        <v>0.47</v>
      </c>
      <c r="D668" s="28">
        <v>0.53</v>
      </c>
      <c r="E668" s="29">
        <v>0.33381235318502139</v>
      </c>
      <c r="F668" s="30">
        <v>0.35921625544267055</v>
      </c>
      <c r="G668" s="31">
        <f>[1]ARA_eff_age_2016!$C187</f>
        <v>860</v>
      </c>
      <c r="H668" s="32">
        <f>[1]ARA_eff_age_2016!$B187</f>
        <v>826</v>
      </c>
      <c r="I668" s="33">
        <f t="shared" si="34"/>
        <v>1686</v>
      </c>
      <c r="J668" s="31">
        <f>[2]ARA_eff_age_2019!$C187</f>
        <v>824</v>
      </c>
      <c r="K668" s="71">
        <f t="shared" si="35"/>
        <v>0.41997961264016309</v>
      </c>
      <c r="L668" s="32">
        <f>[2]ARA_eff_age_2019!$B187</f>
        <v>817</v>
      </c>
      <c r="M668" s="77">
        <f t="shared" si="36"/>
        <v>0.42707788813382125</v>
      </c>
      <c r="N668" s="33">
        <f t="shared" si="37"/>
        <v>1641</v>
      </c>
    </row>
    <row r="669" spans="2:14" x14ac:dyDescent="0.25">
      <c r="B669" s="26" t="s">
        <v>12</v>
      </c>
      <c r="C669" s="27">
        <v>0.49</v>
      </c>
      <c r="D669" s="28">
        <v>0.51</v>
      </c>
      <c r="E669" s="29">
        <v>0.22122426419787206</v>
      </c>
      <c r="F669" s="30">
        <v>0.22507122507122507</v>
      </c>
      <c r="G669" s="31">
        <f>[1]ARA_eff_age_2016!$C188</f>
        <v>381</v>
      </c>
      <c r="H669" s="32">
        <f>[1]ARA_eff_age_2016!$B188</f>
        <v>408</v>
      </c>
      <c r="I669" s="33">
        <f t="shared" si="34"/>
        <v>789</v>
      </c>
      <c r="J669" s="31">
        <f>[2]ARA_eff_age_2019!$C188</f>
        <v>387</v>
      </c>
      <c r="K669" s="71">
        <f t="shared" si="35"/>
        <v>0.19724770642201836</v>
      </c>
      <c r="L669" s="32">
        <f>[2]ARA_eff_age_2019!$B188</f>
        <v>415</v>
      </c>
      <c r="M669" s="77">
        <f t="shared" si="36"/>
        <v>0.21693674856246734</v>
      </c>
      <c r="N669" s="33">
        <f t="shared" si="37"/>
        <v>802</v>
      </c>
    </row>
    <row r="670" spans="2:14" x14ac:dyDescent="0.25">
      <c r="B670" s="26" t="s">
        <v>13</v>
      </c>
      <c r="C670" s="27">
        <v>0.5</v>
      </c>
      <c r="D670" s="28">
        <v>0.5</v>
      </c>
      <c r="E670" s="29">
        <v>0.18236838468978858</v>
      </c>
      <c r="F670" s="30">
        <v>0.17835832930172552</v>
      </c>
      <c r="G670" s="31">
        <f>[1]ARA_eff_age_2016!$C189</f>
        <v>302</v>
      </c>
      <c r="H670" s="32">
        <f>[1]ARA_eff_age_2016!$B189</f>
        <v>286</v>
      </c>
      <c r="I670" s="33">
        <f t="shared" si="34"/>
        <v>588</v>
      </c>
      <c r="J670" s="31">
        <f>[2]ARA_eff_age_2019!$C189</f>
        <v>287</v>
      </c>
      <c r="K670" s="71">
        <f t="shared" si="35"/>
        <v>0.14627930682976553</v>
      </c>
      <c r="L670" s="32">
        <f>[2]ARA_eff_age_2019!$B189</f>
        <v>266</v>
      </c>
      <c r="M670" s="77">
        <f t="shared" si="36"/>
        <v>0.13904861474124411</v>
      </c>
      <c r="N670" s="33">
        <f t="shared" si="37"/>
        <v>553</v>
      </c>
    </row>
    <row r="671" spans="2:14" x14ac:dyDescent="0.25">
      <c r="B671" s="26" t="s">
        <v>14</v>
      </c>
      <c r="C671" s="27">
        <v>0.54</v>
      </c>
      <c r="D671" s="28">
        <v>0.46</v>
      </c>
      <c r="E671" s="29">
        <v>0.15210722675141633</v>
      </c>
      <c r="F671" s="30">
        <v>0.12608181476106003</v>
      </c>
      <c r="G671" s="31">
        <f>[1]ARA_eff_age_2016!$C190</f>
        <v>250</v>
      </c>
      <c r="H671" s="32">
        <f>[1]ARA_eff_age_2016!$B190</f>
        <v>184</v>
      </c>
      <c r="I671" s="33">
        <f t="shared" si="34"/>
        <v>434</v>
      </c>
      <c r="J671" s="31">
        <f>[2]ARA_eff_age_2019!$C190</f>
        <v>249</v>
      </c>
      <c r="K671" s="71">
        <f t="shared" si="35"/>
        <v>0.12691131498470948</v>
      </c>
      <c r="L671" s="32">
        <f>[2]ARA_eff_age_2019!$B190</f>
        <v>174</v>
      </c>
      <c r="M671" s="77">
        <f t="shared" si="36"/>
        <v>9.0956612650287511E-2</v>
      </c>
      <c r="N671" s="33">
        <f t="shared" si="37"/>
        <v>423</v>
      </c>
    </row>
    <row r="672" spans="2:14" ht="15.75" thickBot="1" x14ac:dyDescent="0.3">
      <c r="B672" s="36" t="s">
        <v>15</v>
      </c>
      <c r="C672" s="37">
        <v>0.54</v>
      </c>
      <c r="D672" s="38">
        <v>0.46</v>
      </c>
      <c r="E672" s="37">
        <v>2.8630648058587813E-2</v>
      </c>
      <c r="F672" s="38">
        <v>2.3544589582325432E-2</v>
      </c>
      <c r="G672" s="93">
        <f>[1]ARA_eff_age_2016!$C191</f>
        <v>44</v>
      </c>
      <c r="H672" s="94">
        <f>[1]ARA_eff_age_2016!$B191</f>
        <v>21</v>
      </c>
      <c r="I672" s="82">
        <f t="shared" si="34"/>
        <v>65</v>
      </c>
      <c r="J672" s="93">
        <f>[2]ARA_eff_age_2019!$C191</f>
        <v>34</v>
      </c>
      <c r="K672" s="72">
        <f t="shared" si="35"/>
        <v>1.7329255861365953E-2</v>
      </c>
      <c r="L672" s="94">
        <f>[2]ARA_eff_age_2019!$B191</f>
        <v>32</v>
      </c>
      <c r="M672" s="78">
        <f t="shared" si="36"/>
        <v>1.6727652901202299E-2</v>
      </c>
      <c r="N672" s="82">
        <f t="shared" si="37"/>
        <v>66</v>
      </c>
    </row>
    <row r="673" spans="2:18" x14ac:dyDescent="0.25">
      <c r="B673" s="44" t="s">
        <v>87</v>
      </c>
      <c r="C673" s="101"/>
      <c r="D673" s="101"/>
      <c r="E673" s="101"/>
      <c r="F673" s="101"/>
      <c r="G673" s="46"/>
      <c r="H673" s="46"/>
      <c r="I673" s="46"/>
      <c r="J673" s="46"/>
      <c r="K673" s="46"/>
      <c r="L673" s="107"/>
      <c r="M673" s="107"/>
      <c r="N673" s="107"/>
    </row>
    <row r="674" spans="2:18" ht="14.45" customHeight="1" x14ac:dyDescent="0.25">
      <c r="B674" s="133" t="s">
        <v>88</v>
      </c>
      <c r="C674" s="133"/>
      <c r="D674" s="133"/>
      <c r="E674" s="133"/>
      <c r="F674" s="133"/>
      <c r="G674" s="133"/>
      <c r="H674" s="133"/>
      <c r="I674" s="133"/>
      <c r="J674" s="133"/>
      <c r="K674" s="120"/>
      <c r="L674" s="107"/>
      <c r="M674" s="107"/>
      <c r="N674" s="107"/>
    </row>
    <row r="675" spans="2:18" x14ac:dyDescent="0.25">
      <c r="B675" s="66" t="s">
        <v>71</v>
      </c>
      <c r="C675" s="48"/>
      <c r="D675" s="48"/>
      <c r="E675" s="48"/>
      <c r="F675" s="48"/>
      <c r="G675" s="48"/>
      <c r="H675" s="48"/>
      <c r="I675" s="48"/>
      <c r="J675" s="48"/>
      <c r="K675" s="48"/>
    </row>
    <row r="676" spans="2:18" x14ac:dyDescent="0.25">
      <c r="B676" s="66" t="s">
        <v>22</v>
      </c>
    </row>
    <row r="677" spans="2:18" x14ac:dyDescent="0.25">
      <c r="B677" s="66"/>
    </row>
    <row r="678" spans="2:18" ht="20.100000000000001" customHeight="1" thickBot="1" x14ac:dyDescent="0.3">
      <c r="C678" s="132" t="s">
        <v>36</v>
      </c>
      <c r="D678" s="132"/>
      <c r="E678" s="132"/>
      <c r="F678" s="132"/>
      <c r="G678" s="132"/>
      <c r="H678" s="132"/>
      <c r="I678" s="132"/>
      <c r="J678" s="132"/>
      <c r="K678" s="132"/>
      <c r="L678" s="132"/>
      <c r="M678" s="132"/>
      <c r="N678" s="132"/>
    </row>
    <row r="679" spans="2:18" ht="29.25" customHeight="1" x14ac:dyDescent="0.25">
      <c r="B679" s="49"/>
      <c r="C679" s="50" t="s">
        <v>17</v>
      </c>
      <c r="D679" s="51"/>
      <c r="E679" s="51"/>
      <c r="F679" s="51"/>
      <c r="G679" s="52"/>
      <c r="H679" s="51"/>
      <c r="I679" s="50" t="s">
        <v>18</v>
      </c>
      <c r="J679" s="51"/>
      <c r="K679" s="51"/>
      <c r="L679" s="51"/>
      <c r="M679" s="52"/>
      <c r="N679" s="52"/>
    </row>
    <row r="680" spans="2:18" x14ac:dyDescent="0.25">
      <c r="B680" s="53"/>
      <c r="C680" s="9">
        <v>2016</v>
      </c>
      <c r="D680" s="9"/>
      <c r="E680" s="9"/>
      <c r="F680" s="10">
        <v>2019</v>
      </c>
      <c r="G680" s="10"/>
      <c r="H680" s="10"/>
      <c r="I680" s="9">
        <v>2016</v>
      </c>
      <c r="J680" s="9"/>
      <c r="K680" s="9"/>
      <c r="L680" s="10">
        <v>2019</v>
      </c>
      <c r="M680" s="10"/>
      <c r="N680" s="10"/>
    </row>
    <row r="681" spans="2:18" ht="15.75" thickBot="1" x14ac:dyDescent="0.3">
      <c r="B681" s="54"/>
      <c r="C681" s="14" t="s">
        <v>7</v>
      </c>
      <c r="D681" s="15" t="s">
        <v>8</v>
      </c>
      <c r="E681" s="16" t="s">
        <v>9</v>
      </c>
      <c r="F681" s="55" t="s">
        <v>7</v>
      </c>
      <c r="G681" s="55" t="s">
        <v>8</v>
      </c>
      <c r="H681" s="17" t="s">
        <v>9</v>
      </c>
      <c r="I681" s="14" t="s">
        <v>7</v>
      </c>
      <c r="J681" s="15" t="s">
        <v>8</v>
      </c>
      <c r="K681" s="16" t="s">
        <v>9</v>
      </c>
      <c r="L681" s="55" t="s">
        <v>7</v>
      </c>
      <c r="M681" s="55" t="s">
        <v>8</v>
      </c>
      <c r="N681" s="17" t="s">
        <v>9</v>
      </c>
    </row>
    <row r="682" spans="2:18" ht="15.75" thickBot="1" x14ac:dyDescent="0.3">
      <c r="B682" s="18"/>
      <c r="C682" s="56">
        <v>56.943955219093553</v>
      </c>
      <c r="D682" s="57">
        <v>53.8</v>
      </c>
      <c r="E682" s="57">
        <v>55.3</v>
      </c>
      <c r="F682" s="56">
        <f>J666/([3]NA88_AGE_SEXE!$D$1244+[3]NA88_AGE_SEXE!$D$1246+[3]NA88_AGE_SEXE!$D$1248+[3]NA88_AGE_SEXE!$D$1250+[3]NA88_AGE_SEXE!$D$1252+[3]NA88_AGE_SEXE!$D$1254+[3]NA88_AGE_SEXE!$D$1256+[3]NA88_AGE_SEXE!$D$1258+[3]NA88_AGE_SEXE!$D$1260+[3]NA88_AGE_SEXE!$D$1262+[3]NA88_AGE_SEXE!$D$1264+[3]NA88_AGE_SEXE!$D$1266)*1000</f>
        <v>54.22136244300124</v>
      </c>
      <c r="G682" s="57">
        <f>L666/([3]NA88_AGE_SEXE!$D$1243+[3]NA88_AGE_SEXE!$D$1245+[3]NA88_AGE_SEXE!$D$1247+[3]NA88_AGE_SEXE!$D$1249+[3]NA88_AGE_SEXE!$D$1251+[3]NA88_AGE_SEXE!$D$1253+[3]NA88_AGE_SEXE!$D$1255+[3]NA88_AGE_SEXE!$D$1257+[3]NA88_AGE_SEXE!$D$1259+[3]NA88_AGE_SEXE!$D$1261+[3]NA88_AGE_SEXE!$D$1263+[3]NA88_AGE_SEXE!$D$1265)*1000</f>
        <v>51.416438208891037</v>
      </c>
      <c r="H682" s="58">
        <f>N666/([3]NA88_AGE_SEXE!$D$1243+[3]NA88_AGE_SEXE!$D$1244+[3]NA88_AGE_SEXE!$D$1245+[3]NA88_AGE_SEXE!$D$1246+[3]NA88_AGE_SEXE!$D$1247+[3]NA88_AGE_SEXE!$D$1248+[3]NA88_AGE_SEXE!$D$1249+[3]NA88_AGE_SEXE!$D$1250+[3]NA88_AGE_SEXE!$D$1251+[3]NA88_AGE_SEXE!$D$1252+[3]NA88_AGE_SEXE!$D$1253+[3]NA88_AGE_SEXE!$D$1254+[3]NA88_AGE_SEXE!$D$1255+[3]NA88_AGE_SEXE!$D$1256+[3]NA88_AGE_SEXE!$D$1257+[3]NA88_AGE_SEXE!$D$1258+[3]NA88_AGE_SEXE!$D$1259+[3]NA88_AGE_SEXE!$D$1260+[3]NA88_AGE_SEXE!$D$1261+[3]NA88_AGE_SEXE!$D$1262+[3]NA88_AGE_SEXE!$D$1263+[3]NA88_AGE_SEXE!$D$1264+[3]NA88_AGE_SEXE!$D$1265+[3]NA88_AGE_SEXE!$D$1266)*1000</f>
        <v>52.799389570928312</v>
      </c>
      <c r="I682" s="56">
        <f>G666/[1]ARA_eff_age_2016!$D$452*1000000</f>
        <v>33.990100620177145</v>
      </c>
      <c r="J682" s="57">
        <f>H666/[1]ARA_eff_age_2016!$B$452*1000000</f>
        <v>26.929939598863434</v>
      </c>
      <c r="K682" s="58">
        <f>I666/[1]ARA_eff_age_2016!$F$452*1000000</f>
        <v>30.10921542389762</v>
      </c>
      <c r="L682" s="57">
        <f>J666/[2]ARA_eff_age_2019!$D$452*1000000</f>
        <v>30.184516565151924</v>
      </c>
      <c r="M682" s="57">
        <f>L666/[2]ARA_eff_age_2019!$B$452*1000000</f>
        <v>24.294330099074337</v>
      </c>
      <c r="N682" s="58">
        <f>N666/[2]ARA_eff_age_2019!$F$452*1000000</f>
        <v>26.957859674115195</v>
      </c>
      <c r="P682" s="62"/>
      <c r="Q682" s="62"/>
      <c r="R682" s="62"/>
    </row>
    <row r="683" spans="2:18" x14ac:dyDescent="0.25">
      <c r="B683" s="26" t="s">
        <v>10</v>
      </c>
      <c r="C683" s="59">
        <v>82.541064179429256</v>
      </c>
      <c r="D683" s="60">
        <v>80.060327616162226</v>
      </c>
      <c r="E683" s="61">
        <v>81.225321861945147</v>
      </c>
      <c r="F683" s="59">
        <f>J667/([3]NA88_AGE_SEXE!$D$1244+[3]NA88_AGE_SEXE!$D$1246)*1000</f>
        <v>61.10735989196489</v>
      </c>
      <c r="G683" s="60">
        <f>L667/([3]NA88_AGE_SEXE!$D$1243+[3]NA88_AGE_SEXE!$D$1245)*1000</f>
        <v>64.031862745098039</v>
      </c>
      <c r="H683" s="61">
        <f>N667/([3]NA88_AGE_SEXE!$D$1243+[3]NA88_AGE_SEXE!$D$1244+[3]NA88_AGE_SEXE!$D$1245+[3]NA88_AGE_SEXE!$D$1246)*1000</f>
        <v>62.640539672341788</v>
      </c>
      <c r="I683" s="59">
        <f>G667/[1]ARA_eff_age_2016!$D$445*1000000</f>
        <v>49.687361888747382</v>
      </c>
      <c r="J683" s="60">
        <f>H667/[1]ARA_eff_age_2016!$B$445*1000000</f>
        <v>49.571503467149739</v>
      </c>
      <c r="K683" s="61">
        <f>I667/[1]ARA_eff_age_2016!$F$445*1000000</f>
        <v>49.622498124448626</v>
      </c>
      <c r="L683" s="59">
        <f>J667/[2]ARA_eff_age_2019!$D$445*1000000</f>
        <v>41.071394104846263</v>
      </c>
      <c r="M683" s="60">
        <f>L667/[2]ARA_eff_age_2019!$B$445*1000000</f>
        <v>37.017449210819862</v>
      </c>
      <c r="N683" s="61">
        <f>N667/[2]ARA_eff_age_2019!$F$445*1000000</f>
        <v>38.794597271803568</v>
      </c>
      <c r="P683" s="62"/>
      <c r="Q683" s="62"/>
      <c r="R683" s="62"/>
    </row>
    <row r="684" spans="2:18" x14ac:dyDescent="0.25">
      <c r="B684" s="26" t="s">
        <v>11</v>
      </c>
      <c r="C684" s="59">
        <v>68.909311370698958</v>
      </c>
      <c r="D684" s="60">
        <v>62.355835768107028</v>
      </c>
      <c r="E684" s="61">
        <v>65.510784757797495</v>
      </c>
      <c r="F684" s="59">
        <f>J668/([3]NA88_AGE_SEXE!$D$1248+[3]NA88_AGE_SEXE!$D$1250)*1000</f>
        <v>68.217567679443661</v>
      </c>
      <c r="G684" s="60">
        <f>L668/([3]NA88_AGE_SEXE!$D$1247+[3]NA88_AGE_SEXE!$D$1249)*1000</f>
        <v>61.129816685372241</v>
      </c>
      <c r="H684" s="61">
        <f>N668/([3]NA88_AGE_SEXE!$D$1247+[3]NA88_AGE_SEXE!$D$1248+[3]NA88_AGE_SEXE!$D$1249+[3]NA88_AGE_SEXE!$D$1250)*1000</f>
        <v>64.494576324477293</v>
      </c>
      <c r="I684" s="59">
        <f>G668/[1]ARA_eff_age_2016!$D447*1000000</f>
        <v>39.634516299210915</v>
      </c>
      <c r="J684" s="60">
        <f>H668/[1]ARA_eff_age_2016!$B447*1000000</f>
        <v>30.603657514987454</v>
      </c>
      <c r="K684" s="61">
        <f>I668/[1]ARA_eff_age_2016!$F447*1000000</f>
        <v>34.628302450987547</v>
      </c>
      <c r="L684" s="59">
        <f>J668/[2]ARA_eff_age_2019!$D447*1000000</f>
        <v>34.281131882597158</v>
      </c>
      <c r="M684" s="60">
        <f>L668/[2]ARA_eff_age_2019!$B447*1000000</f>
        <v>27.678277982079265</v>
      </c>
      <c r="N684" s="61">
        <f>N668/[2]ARA_eff_age_2019!$F447*1000000</f>
        <v>30.641809677121181</v>
      </c>
      <c r="P684" s="62"/>
      <c r="Q684" s="62"/>
      <c r="R684" s="62"/>
    </row>
    <row r="685" spans="2:18" x14ac:dyDescent="0.25">
      <c r="B685" s="26" t="s">
        <v>12</v>
      </c>
      <c r="C685" s="59">
        <v>50.486183298683301</v>
      </c>
      <c r="D685" s="60">
        <v>47.252740473884529</v>
      </c>
      <c r="E685" s="61">
        <v>48.794624329800023</v>
      </c>
      <c r="F685" s="59">
        <f>J669/([3]NA88_AGE_SEXE!$D$1252+[3]NA88_AGE_SEXE!$D$1254)*1000</f>
        <v>48.344784509681453</v>
      </c>
      <c r="G685" s="60">
        <f>L669/([3]NA88_AGE_SEXE!$D$1251+[3]NA88_AGE_SEXE!$D$1253)*1000</f>
        <v>49.558156197754954</v>
      </c>
      <c r="H685" s="61">
        <f>N669/([3]NA88_AGE_SEXE!$D$1251+[3]NA88_AGE_SEXE!$D$1252+[3]NA88_AGE_SEXE!$D$1253+[3]NA88_AGE_SEXE!$D$1254)*1000</f>
        <v>48.965138286830694</v>
      </c>
      <c r="I685" s="59">
        <f>G669/[1]ARA_eff_age_2016!$D448*1000000</f>
        <v>30.12288952987657</v>
      </c>
      <c r="J685" s="60">
        <f>H669/[1]ARA_eff_age_2016!$B448*1000000</f>
        <v>22.930349120747564</v>
      </c>
      <c r="K685" s="61">
        <f>I669/[1]ARA_eff_age_2016!$F448*1000000</f>
        <v>25.918818842961588</v>
      </c>
      <c r="L685" s="59">
        <f>J669/[2]ARA_eff_age_2019!$D448*1000000</f>
        <v>27.22033972432914</v>
      </c>
      <c r="M685" s="60">
        <f>L669/[2]ARA_eff_age_2019!$B448*1000000</f>
        <v>21.210826414685457</v>
      </c>
      <c r="N685" s="61">
        <f>N669/[2]ARA_eff_age_2019!$F448*1000000</f>
        <v>23.739898543665859</v>
      </c>
      <c r="P685" s="62"/>
      <c r="Q685" s="62"/>
      <c r="R685" s="62"/>
    </row>
    <row r="686" spans="2:18" x14ac:dyDescent="0.25">
      <c r="B686" s="26" t="s">
        <v>13</v>
      </c>
      <c r="C686" s="59">
        <v>43.706665834158748</v>
      </c>
      <c r="D686" s="60">
        <v>43.635578441325144</v>
      </c>
      <c r="E686" s="61">
        <v>43.672101984200765</v>
      </c>
      <c r="F686" s="59">
        <f>J670/([3]NA88_AGE_SEXE!$D$1256+[3]NA88_AGE_SEXE!$D$1258)*1000</f>
        <v>43.491438096681314</v>
      </c>
      <c r="G686" s="60">
        <f>L670/([3]NA88_AGE_SEXE!$D$1255+[3]NA88_AGE_SEXE!$D$1257)*1000</f>
        <v>40.084388185654014</v>
      </c>
      <c r="H686" s="61">
        <f>N670/([3]NA88_AGE_SEXE!$D$1255+[3]NA88_AGE_SEXE!$D$1256+[3]NA88_AGE_SEXE!$D$1257+[3]NA88_AGE_SEXE!$D$1258)*1000</f>
        <v>41.783150736683041</v>
      </c>
      <c r="I686" s="59">
        <f>G670/[1]ARA_eff_age_2016!$D449*1000000</f>
        <v>27.084164579526863</v>
      </c>
      <c r="J686" s="60">
        <f>H670/[1]ARA_eff_age_2016!$B449*1000000</f>
        <v>21.549402004094386</v>
      </c>
      <c r="K686" s="61">
        <f>I670/[1]ARA_eff_age_2016!$F449*1000000</f>
        <v>24.076398835701383</v>
      </c>
      <c r="L686" s="59">
        <f>J670/[2]ARA_eff_age_2019!$D449*1000000</f>
        <v>25.498785564808763</v>
      </c>
      <c r="M686" s="60">
        <f>L670/[2]ARA_eff_age_2019!$B449*1000000</f>
        <v>20.487232760896685</v>
      </c>
      <c r="N686" s="61">
        <f>N670/[2]ARA_eff_age_2019!$F449*1000000</f>
        <v>22.814346514253963</v>
      </c>
      <c r="P686" s="62"/>
      <c r="Q686" s="62"/>
      <c r="R686" s="62"/>
    </row>
    <row r="687" spans="2:18" x14ac:dyDescent="0.25">
      <c r="B687" s="26" t="s">
        <v>14</v>
      </c>
      <c r="C687" s="59">
        <v>47.487782774610878</v>
      </c>
      <c r="D687" s="60">
        <v>41.280339890259235</v>
      </c>
      <c r="E687" s="61">
        <v>44.698907533693493</v>
      </c>
      <c r="F687" s="59">
        <f>J671/([3]NA88_AGE_SEXE!$D$1260+[3]NA88_AGE_SEXE!$D$1262)*1000</f>
        <v>45.239825581395344</v>
      </c>
      <c r="G687" s="60">
        <f>L671/([3]NA88_AGE_SEXE!$D$1259+[3]NA88_AGE_SEXE!$D$1261)*1000</f>
        <v>37.092304412705182</v>
      </c>
      <c r="H687" s="61">
        <f>N671/([3]NA88_AGE_SEXE!$D$1259+[3]NA88_AGE_SEXE!$D$1260+[3]NA88_AGE_SEXE!$D$1261+[3]NA88_AGE_SEXE!$D$1262)*1000</f>
        <v>41.490926924963212</v>
      </c>
      <c r="I687" s="59">
        <f>G671/[1]ARA_eff_age_2016!$D450*1000000</f>
        <v>29.290007866124512</v>
      </c>
      <c r="J687" s="60">
        <f>H671/[1]ARA_eff_age_2016!$B450*1000000</f>
        <v>22.276379652464264</v>
      </c>
      <c r="K687" s="61">
        <f>I671/[1]ARA_eff_age_2016!$F450*1000000</f>
        <v>25.84071024085209</v>
      </c>
      <c r="L687" s="59">
        <f>J671/[2]ARA_eff_age_2019!$D450*1000000</f>
        <v>27.285862621244071</v>
      </c>
      <c r="M687" s="60">
        <f>L671/[2]ARA_eff_age_2019!$B450*1000000</f>
        <v>18.857611324797588</v>
      </c>
      <c r="N687" s="61">
        <f>N671/[2]ARA_eff_age_2019!$F450*1000000</f>
        <v>23.048444680218832</v>
      </c>
      <c r="P687" s="62"/>
      <c r="Q687" s="62"/>
      <c r="R687" s="62"/>
    </row>
    <row r="688" spans="2:18" ht="15.75" thickBot="1" x14ac:dyDescent="0.3">
      <c r="B688" s="36" t="s">
        <v>15</v>
      </c>
      <c r="C688" s="63">
        <v>36.906156869619771</v>
      </c>
      <c r="D688" s="64">
        <v>21.905522768858077</v>
      </c>
      <c r="E688" s="65">
        <v>30.646973745759162</v>
      </c>
      <c r="F688" s="63">
        <f>J672/([3]NA88_AGE_SEXE!$D$1264+[3]NA88_AGE_SEXE!$D$1266)*1000</f>
        <v>32.818532818532816</v>
      </c>
      <c r="G688" s="64">
        <f>L672/([3]NA88_AGE_SEXE!$D$1263+[3]NA88_AGE_SEXE!$D$1265)*1000</f>
        <v>36.529680365296798</v>
      </c>
      <c r="H688" s="65">
        <f>N672/([3]NA88_AGE_SEXE!$D$1263+[3]NA88_AGE_SEXE!$D$1264+[3]NA88_AGE_SEXE!$D$1265+[3]NA88_AGE_SEXE!$D$1266)*1000</f>
        <v>34.518828451882847</v>
      </c>
      <c r="I688" s="63">
        <f>G672/[1]ARA_eff_age_2016!$D451*1000000</f>
        <v>27.460594047541775</v>
      </c>
      <c r="J688" s="64">
        <f>H672/[1]ARA_eff_age_2016!$B451*1000000</f>
        <v>14.7826839863408</v>
      </c>
      <c r="K688" s="65">
        <f>I672/[1]ARA_eff_age_2016!$F451*1000000</f>
        <v>21.502694287594235</v>
      </c>
      <c r="L688" s="63">
        <f>J672/[2]ARA_eff_age_2019!$D451*1000000</f>
        <v>17.361516957846369</v>
      </c>
      <c r="M688" s="64">
        <f>L672/[2]ARA_eff_age_2019!$B451*1000000</f>
        <v>17.751003150791963</v>
      </c>
      <c r="N688" s="65">
        <f>N672/[2]ARA_eff_age_2019!$F451*1000000</f>
        <v>17.548201266297344</v>
      </c>
      <c r="O688" s="62"/>
      <c r="P688" s="62"/>
      <c r="Q688" s="62"/>
      <c r="R688" s="62"/>
    </row>
    <row r="689" spans="2:18" x14ac:dyDescent="0.25">
      <c r="B689" s="44" t="s">
        <v>87</v>
      </c>
      <c r="C689" s="101"/>
      <c r="D689" s="101"/>
      <c r="E689" s="101"/>
      <c r="F689" s="101"/>
      <c r="G689" s="46"/>
      <c r="H689" s="46"/>
      <c r="I689" s="46"/>
      <c r="J689" s="46"/>
      <c r="K689" s="46"/>
      <c r="L689" s="107"/>
      <c r="M689" s="107"/>
      <c r="N689" s="107"/>
    </row>
    <row r="690" spans="2:18" ht="14.45" customHeight="1" x14ac:dyDescent="0.25">
      <c r="B690" s="133" t="s">
        <v>88</v>
      </c>
      <c r="C690" s="133"/>
      <c r="D690" s="133"/>
      <c r="E690" s="133"/>
      <c r="F690" s="133"/>
      <c r="G690" s="133"/>
      <c r="H690" s="133"/>
      <c r="I690" s="133"/>
      <c r="J690" s="133"/>
      <c r="K690" s="120"/>
      <c r="L690" s="107"/>
      <c r="M690" s="107"/>
      <c r="N690" s="107"/>
    </row>
    <row r="691" spans="2:18" x14ac:dyDescent="0.25">
      <c r="B691" s="112" t="s">
        <v>72</v>
      </c>
      <c r="C691" s="48"/>
      <c r="D691" s="48"/>
      <c r="E691" s="48"/>
      <c r="F691" s="48"/>
      <c r="G691" s="48"/>
      <c r="H691" s="48"/>
      <c r="I691" s="48"/>
      <c r="J691" s="48"/>
      <c r="K691" s="48"/>
    </row>
    <row r="692" spans="2:18" x14ac:dyDescent="0.25">
      <c r="B692" s="66"/>
    </row>
    <row r="693" spans="2:18" ht="20.100000000000001" customHeight="1" thickBot="1" x14ac:dyDescent="0.3">
      <c r="C693" s="132" t="s">
        <v>36</v>
      </c>
      <c r="D693" s="132"/>
      <c r="E693" s="132"/>
      <c r="F693" s="132"/>
      <c r="G693" s="132"/>
      <c r="H693" s="132"/>
      <c r="I693" s="132"/>
      <c r="J693" s="132"/>
      <c r="K693" s="132"/>
      <c r="L693" s="132"/>
      <c r="M693" s="132"/>
      <c r="N693" s="132"/>
    </row>
    <row r="694" spans="2:18" ht="42.75" customHeight="1" x14ac:dyDescent="0.25">
      <c r="B694" s="49"/>
      <c r="C694" s="67" t="s">
        <v>19</v>
      </c>
      <c r="D694" s="68"/>
      <c r="E694" s="68"/>
      <c r="F694" s="68"/>
      <c r="G694" s="69"/>
      <c r="H694" s="68"/>
      <c r="I694" s="67" t="s">
        <v>20</v>
      </c>
      <c r="J694" s="68"/>
      <c r="K694" s="68"/>
      <c r="L694" s="68"/>
      <c r="M694" s="69"/>
      <c r="N694" s="69"/>
    </row>
    <row r="695" spans="2:18" x14ac:dyDescent="0.25">
      <c r="B695" s="53"/>
      <c r="C695" s="9">
        <v>2016</v>
      </c>
      <c r="D695" s="9"/>
      <c r="E695" s="9"/>
      <c r="F695" s="10">
        <v>2019</v>
      </c>
      <c r="G695" s="10"/>
      <c r="H695" s="10"/>
      <c r="I695" s="9">
        <v>2016</v>
      </c>
      <c r="J695" s="9"/>
      <c r="K695" s="9"/>
      <c r="L695" s="10">
        <v>2019</v>
      </c>
      <c r="M695" s="10"/>
      <c r="N695" s="10"/>
    </row>
    <row r="696" spans="2:18" ht="15.75" thickBot="1" x14ac:dyDescent="0.3">
      <c r="B696" s="54"/>
      <c r="C696" s="14" t="s">
        <v>7</v>
      </c>
      <c r="D696" s="15" t="s">
        <v>8</v>
      </c>
      <c r="E696" s="16" t="s">
        <v>9</v>
      </c>
      <c r="F696" s="55" t="s">
        <v>7</v>
      </c>
      <c r="G696" s="55" t="s">
        <v>8</v>
      </c>
      <c r="H696" s="17" t="s">
        <v>9</v>
      </c>
      <c r="I696" s="14" t="s">
        <v>7</v>
      </c>
      <c r="J696" s="15" t="s">
        <v>8</v>
      </c>
      <c r="K696" s="16" t="s">
        <v>9</v>
      </c>
      <c r="L696" s="55" t="s">
        <v>7</v>
      </c>
      <c r="M696" s="55" t="s">
        <v>8</v>
      </c>
      <c r="N696" s="17" t="s">
        <v>9</v>
      </c>
    </row>
    <row r="697" spans="2:18" ht="15.75" thickBot="1" x14ac:dyDescent="0.3">
      <c r="B697" s="18"/>
      <c r="C697" s="56">
        <v>2.2999999999999998</v>
      </c>
      <c r="D697" s="57">
        <v>1.5</v>
      </c>
      <c r="E697" s="57">
        <v>1.9</v>
      </c>
      <c r="F697" s="56">
        <v>2</v>
      </c>
      <c r="G697" s="57">
        <v>1.4</v>
      </c>
      <c r="H697" s="58">
        <v>1.7</v>
      </c>
      <c r="I697" s="56">
        <f>[1]ARA_eff_age_2016!$G$192/[1]ARA_eff_age_2016!$D$452*1000000</f>
        <v>12.712433050673823</v>
      </c>
      <c r="J697" s="57">
        <f>[1]ARA_eff_age_2016!$F$192/[1]ARA_eff_age_2016!$B$452*1000000</f>
        <v>12.910285152699206</v>
      </c>
      <c r="K697" s="58">
        <f>[1]ARA_eff_age_2016!$H$192/[1]ARA_eff_age_2016!$F$452*1000000</f>
        <v>12.8211899602521</v>
      </c>
      <c r="L697" s="57">
        <f>[2]ARA_eff_age_2019!$G$192/[2]ARA_eff_age_2019!$D$452*1000000</f>
        <v>11.92303788888519</v>
      </c>
      <c r="M697" s="57">
        <f>[2]ARA_eff_age_2019!$F$192/[2]ARA_eff_age_2019!$B$452*1000000</f>
        <v>7.4038653673603436</v>
      </c>
      <c r="N697" s="58">
        <f>[2]ARA_eff_age_2019!$H$192/[2]ARA_eff_age_2019!$F$452*1000000</f>
        <v>9.4474254032124989</v>
      </c>
      <c r="P697" s="62"/>
      <c r="Q697" s="62"/>
      <c r="R697" s="62"/>
    </row>
    <row r="698" spans="2:18" x14ac:dyDescent="0.25">
      <c r="B698" s="26" t="s">
        <v>10</v>
      </c>
      <c r="C698" s="59">
        <v>1.7</v>
      </c>
      <c r="D698" s="60">
        <v>1.2</v>
      </c>
      <c r="E698" s="60">
        <v>1.4</v>
      </c>
      <c r="F698" s="59">
        <v>1.2</v>
      </c>
      <c r="G698" s="60">
        <v>1</v>
      </c>
      <c r="H698" s="60">
        <v>1.1000000000000001</v>
      </c>
      <c r="I698" s="59">
        <f>[1]ARA_eff_age_2016!$G$185/[1]ARA_eff_age_2016!$D$445*1000000</f>
        <v>9.2982197686544801</v>
      </c>
      <c r="J698" s="60">
        <f>[1]ARA_eff_age_2016!$F$185/[1]ARA_eff_age_2016!$B$445*1000000</f>
        <v>3.4266016221532078</v>
      </c>
      <c r="K698" s="60">
        <f>[1]ARA_eff_age_2016!$H$185/[1]ARA_eff_age_2016!$F$445*1000000</f>
        <v>6.0109727109512505</v>
      </c>
      <c r="L698" s="59">
        <f>[2]ARA_eff_age_2019!$G$185/[2]ARA_eff_age_2019!$D$445*1000000</f>
        <v>2.2691377958478602</v>
      </c>
      <c r="M698" s="60">
        <f>[2]ARA_eff_age_2019!$F$185/[2]ARA_eff_age_2019!$B$445*1000000</f>
        <v>1.2398188730896604</v>
      </c>
      <c r="N698" s="61">
        <f>[2]ARA_eff_age_2019!$H$185/[2]ARA_eff_age_2019!$F$445*1000000</f>
        <v>1.6910465477452838</v>
      </c>
      <c r="P698" s="62"/>
      <c r="Q698" s="62"/>
      <c r="R698" s="62"/>
    </row>
    <row r="699" spans="2:18" x14ac:dyDescent="0.25">
      <c r="B699" s="26" t="s">
        <v>11</v>
      </c>
      <c r="C699" s="59">
        <v>1.7175110685147597</v>
      </c>
      <c r="D699" s="60">
        <v>1.1525648643780022</v>
      </c>
      <c r="E699" s="61">
        <v>1.4043358126253107</v>
      </c>
      <c r="F699" s="59">
        <v>1.5850031124230761</v>
      </c>
      <c r="G699" s="60">
        <v>1.0665453442484871</v>
      </c>
      <c r="H699" s="60">
        <v>1.2992426065411893</v>
      </c>
      <c r="I699" s="59">
        <f>[1]ARA_eff_age_2016!$G187/[1]ARA_eff_age_2016!$D447*1000000</f>
        <v>4.5625780390952109</v>
      </c>
      <c r="J699" s="60">
        <f>[1]ARA_eff_age_2016!$F187/[1]ARA_eff_age_2016!$B447*1000000</f>
        <v>12.300743698517961</v>
      </c>
      <c r="K699" s="60">
        <f>[1]ARA_eff_age_2016!$H187/[1]ARA_eff_age_2016!$F447*1000000</f>
        <v>8.8521935684315736</v>
      </c>
      <c r="L699" s="59">
        <f>[2]ARA_eff_age_2019!$G187/[2]ARA_eff_age_2019!$D447*1000000</f>
        <v>5.1172077931546731</v>
      </c>
      <c r="M699" s="60">
        <f>[2]ARA_eff_age_2019!$F187/[2]ARA_eff_age_2019!$B447*1000000</f>
        <v>4.675155889261859</v>
      </c>
      <c r="N699" s="61">
        <f>[2]ARA_eff_age_2019!$H187/[2]ARA_eff_age_2019!$F447*1000000</f>
        <v>4.8735602228693651</v>
      </c>
      <c r="P699" s="62"/>
      <c r="Q699" s="62"/>
      <c r="R699" s="62"/>
    </row>
    <row r="700" spans="2:18" x14ac:dyDescent="0.25">
      <c r="B700" s="26" t="s">
        <v>12</v>
      </c>
      <c r="C700" s="59">
        <v>2.2518638834381743</v>
      </c>
      <c r="D700" s="60">
        <v>1.5095813171158814</v>
      </c>
      <c r="E700" s="61">
        <v>1.8179965429748799</v>
      </c>
      <c r="F700" s="59">
        <v>2.2520435088025437</v>
      </c>
      <c r="G700" s="60">
        <v>1.2744384471539909</v>
      </c>
      <c r="H700" s="60">
        <v>1.6858584046842127</v>
      </c>
      <c r="I700" s="59">
        <f>[1]ARA_eff_age_2016!$G188/[1]ARA_eff_age_2016!$D448*1000000</f>
        <v>12.412844241970134</v>
      </c>
      <c r="J700" s="60">
        <f>[1]ARA_eff_age_2016!$F188/[1]ARA_eff_age_2016!$B448*1000000</f>
        <v>11.633780068614573</v>
      </c>
      <c r="K700" s="60">
        <f>[1]ARA_eff_age_2016!$H188/[1]ARA_eff_age_2016!$F448*1000000</f>
        <v>11.957477894598249</v>
      </c>
      <c r="L700" s="59">
        <f>[2]ARA_eff_age_2019!$G188/[2]ARA_eff_age_2019!$D448*1000000</f>
        <v>7.7370474668635802</v>
      </c>
      <c r="M700" s="60">
        <f>[2]ARA_eff_age_2019!$F188/[2]ARA_eff_age_2019!$B448*1000000</f>
        <v>7.2065699384834918</v>
      </c>
      <c r="N700" s="61">
        <f>[2]ARA_eff_age_2019!$H188/[2]ARA_eff_age_2019!$F448*1000000</f>
        <v>7.4298186215213589</v>
      </c>
      <c r="P700" s="62"/>
      <c r="Q700" s="62"/>
      <c r="R700" s="62"/>
    </row>
    <row r="701" spans="2:18" x14ac:dyDescent="0.25">
      <c r="B701" s="26" t="s">
        <v>13</v>
      </c>
      <c r="C701" s="59">
        <v>2.6334417507060492</v>
      </c>
      <c r="D701" s="60">
        <v>1.7739829398055882</v>
      </c>
      <c r="E701" s="61">
        <v>2.1663845401348452</v>
      </c>
      <c r="F701" s="59">
        <v>2.6739963384810079</v>
      </c>
      <c r="G701" s="60">
        <v>2.1449978661314764</v>
      </c>
      <c r="H701" s="60">
        <v>2.3906382232576391</v>
      </c>
      <c r="I701" s="59">
        <f>[1]ARA_eff_age_2016!$G189/[1]ARA_eff_age_2016!$D449*1000000</f>
        <v>22.779396699337163</v>
      </c>
      <c r="J701" s="60">
        <f>[1]ARA_eff_age_2016!$F189/[1]ARA_eff_age_2016!$B449*1000000</f>
        <v>9.1170546940399326</v>
      </c>
      <c r="K701" s="60">
        <f>[1]ARA_eff_age_2016!$H189/[1]ARA_eff_age_2016!$F449*1000000</f>
        <v>15.354846196238126</v>
      </c>
      <c r="L701" s="59">
        <f>[2]ARA_eff_age_2019!$G189/[2]ARA_eff_age_2019!$D449*1000000</f>
        <v>21.411872199020596</v>
      </c>
      <c r="M701" s="60">
        <f>[2]ARA_eff_age_2019!$F189/[2]ARA_eff_age_2019!$B449*1000000</f>
        <v>9.6274590041807731</v>
      </c>
      <c r="N701" s="61">
        <f>[2]ARA_eff_age_2019!$H189/[2]ARA_eff_age_2019!$F449*1000000</f>
        <v>15.099549410880561</v>
      </c>
      <c r="P701" s="62"/>
      <c r="Q701" s="62"/>
      <c r="R701" s="62"/>
    </row>
    <row r="702" spans="2:18" x14ac:dyDescent="0.25">
      <c r="B702" s="26" t="s">
        <v>14</v>
      </c>
      <c r="C702" s="59">
        <v>3.3332028951649693</v>
      </c>
      <c r="D702" s="60">
        <v>2.5179573044127812</v>
      </c>
      <c r="E702" s="61">
        <v>2.9322656634596398</v>
      </c>
      <c r="F702" s="59">
        <v>2.5024094731675892</v>
      </c>
      <c r="G702" s="60">
        <v>1.8533563865825493</v>
      </c>
      <c r="H702" s="60">
        <v>2.1760892084962165</v>
      </c>
      <c r="I702" s="59">
        <f>[1]ARA_eff_age_2016!$G190/[1]ARA_eff_age_2016!$D450*1000000</f>
        <v>21.205965695074145</v>
      </c>
      <c r="J702" s="60">
        <f>[1]ARA_eff_age_2016!$F190/[1]ARA_eff_age_2016!$B450*1000000</f>
        <v>30.145752899258706</v>
      </c>
      <c r="K702" s="60">
        <f>[1]ARA_eff_age_2016!$H190/[1]ARA_eff_age_2016!$F450*1000000</f>
        <v>25.602547012825802</v>
      </c>
      <c r="L702" s="59">
        <f>[2]ARA_eff_age_2019!$G190/[2]ARA_eff_age_2019!$D450*1000000</f>
        <v>29.806243505937303</v>
      </c>
      <c r="M702" s="60">
        <f>[2]ARA_eff_age_2019!$F190/[2]ARA_eff_age_2019!$B450*1000000</f>
        <v>17.231955176108141</v>
      </c>
      <c r="N702" s="61">
        <f>[2]ARA_eff_age_2019!$H190/[2]ARA_eff_age_2019!$F450*1000000</f>
        <v>23.484349071334083</v>
      </c>
      <c r="P702" s="62"/>
      <c r="Q702" s="62"/>
      <c r="R702" s="62"/>
    </row>
    <row r="703" spans="2:18" ht="15.75" thickBot="1" x14ac:dyDescent="0.3">
      <c r="B703" s="36" t="s">
        <v>15</v>
      </c>
      <c r="C703" s="63">
        <v>2.5912815110316698</v>
      </c>
      <c r="D703" s="64">
        <v>1.2192194602067745</v>
      </c>
      <c r="E703" s="65">
        <v>1.9464900490492998</v>
      </c>
      <c r="F703" s="63">
        <v>2.0348719140299347</v>
      </c>
      <c r="G703" s="64">
        <v>1.676360360052916</v>
      </c>
      <c r="H703" s="64">
        <v>1.8630340344385683</v>
      </c>
      <c r="I703" s="63">
        <f>[1]ARA_eff_age_2016!$G191/[1]ARA_eff_age_2016!$D451*1000000</f>
        <v>17.474923484799312</v>
      </c>
      <c r="J703" s="64">
        <f>[1]ARA_eff_age_2016!$F191/[1]ARA_eff_age_2016!$B451*1000000</f>
        <v>4.9275613287802669</v>
      </c>
      <c r="K703" s="65">
        <f>[1]ARA_eff_age_2016!$H191/[1]ARA_eff_age_2016!$F451*1000000</f>
        <v>11.578373847166127</v>
      </c>
      <c r="L703" s="63">
        <f>[2]ARA_eff_age_2019!$G191/[2]ARA_eff_age_2019!$D451*1000000</f>
        <v>9.7020241823259123</v>
      </c>
      <c r="M703" s="64">
        <f>[2]ARA_eff_age_2019!$F191/[2]ARA_eff_age_2019!$B451*1000000</f>
        <v>7.2113450300092357</v>
      </c>
      <c r="N703" s="65">
        <f>[2]ARA_eff_age_2019!$H191/[2]ARA_eff_age_2019!$F451*1000000</f>
        <v>8.5082187957805306</v>
      </c>
      <c r="P703" s="62"/>
      <c r="Q703" s="62"/>
      <c r="R703" s="62"/>
    </row>
    <row r="704" spans="2:18" x14ac:dyDescent="0.25">
      <c r="B704" s="44" t="s">
        <v>87</v>
      </c>
      <c r="C704" s="101"/>
      <c r="D704" s="101"/>
      <c r="E704" s="101"/>
      <c r="F704" s="101"/>
      <c r="G704" s="46"/>
      <c r="H704" s="46"/>
      <c r="I704" s="46"/>
      <c r="J704" s="46"/>
      <c r="K704" s="46"/>
      <c r="L704" s="107"/>
      <c r="M704" s="107"/>
      <c r="N704" s="107"/>
    </row>
    <row r="705" spans="2:14" ht="14.45" customHeight="1" x14ac:dyDescent="0.25">
      <c r="B705" s="133" t="s">
        <v>88</v>
      </c>
      <c r="C705" s="133"/>
      <c r="D705" s="133"/>
      <c r="E705" s="133"/>
      <c r="F705" s="133"/>
      <c r="G705" s="133"/>
      <c r="H705" s="133"/>
      <c r="I705" s="133"/>
      <c r="J705" s="133"/>
      <c r="K705" s="120"/>
      <c r="L705" s="107"/>
      <c r="M705" s="107"/>
      <c r="N705" s="107"/>
    </row>
    <row r="706" spans="2:14" x14ac:dyDescent="0.25">
      <c r="B706" s="66" t="s">
        <v>73</v>
      </c>
      <c r="C706" s="48"/>
      <c r="D706" s="48"/>
      <c r="E706" s="48"/>
      <c r="F706" s="48"/>
      <c r="G706" s="48"/>
      <c r="H706" s="48"/>
      <c r="I706" s="48"/>
      <c r="J706" s="48"/>
      <c r="K706" s="48"/>
    </row>
    <row r="707" spans="2:14" ht="15.75" thickBot="1" x14ac:dyDescent="0.3"/>
    <row r="708" spans="2:14" ht="15" customHeight="1" thickTop="1" x14ac:dyDescent="0.25">
      <c r="B708" s="204" t="s">
        <v>86</v>
      </c>
      <c r="C708" s="205"/>
      <c r="D708" s="205"/>
      <c r="E708" s="205"/>
      <c r="F708" s="205"/>
      <c r="G708" s="206"/>
    </row>
    <row r="709" spans="2:14" x14ac:dyDescent="0.25">
      <c r="B709" s="154"/>
      <c r="C709" s="139"/>
      <c r="D709" s="139"/>
      <c r="E709" s="139"/>
      <c r="F709" s="139"/>
      <c r="G709" s="155"/>
    </row>
    <row r="710" spans="2:14" x14ac:dyDescent="0.25">
      <c r="B710" s="154"/>
      <c r="C710" s="139"/>
      <c r="D710" s="139"/>
      <c r="E710" s="139"/>
      <c r="F710" s="139"/>
      <c r="G710" s="155"/>
    </row>
    <row r="711" spans="2:14" x14ac:dyDescent="0.25">
      <c r="B711" s="154"/>
      <c r="C711" s="139"/>
      <c r="D711" s="139"/>
      <c r="E711" s="139"/>
      <c r="F711" s="139"/>
      <c r="G711" s="155"/>
    </row>
    <row r="712" spans="2:14" x14ac:dyDescent="0.25">
      <c r="B712" s="154"/>
      <c r="C712" s="139"/>
      <c r="D712" s="139"/>
      <c r="E712" s="139"/>
      <c r="F712" s="139"/>
      <c r="G712" s="155"/>
    </row>
    <row r="713" spans="2:14" x14ac:dyDescent="0.25">
      <c r="B713" s="154"/>
      <c r="C713" s="139"/>
      <c r="D713" s="139"/>
      <c r="E713" s="139"/>
      <c r="F713" s="139"/>
      <c r="G713" s="155"/>
    </row>
    <row r="714" spans="2:14" x14ac:dyDescent="0.25">
      <c r="B714" s="154"/>
      <c r="C714" s="139"/>
      <c r="D714" s="139"/>
      <c r="E714" s="139"/>
      <c r="F714" s="139"/>
      <c r="G714" s="155"/>
    </row>
    <row r="715" spans="2:14" x14ac:dyDescent="0.25">
      <c r="B715" s="154"/>
      <c r="C715" s="139"/>
      <c r="D715" s="139"/>
      <c r="E715" s="139"/>
      <c r="F715" s="139"/>
      <c r="G715" s="155"/>
    </row>
    <row r="716" spans="2:14" x14ac:dyDescent="0.25">
      <c r="B716" s="154"/>
      <c r="C716" s="139"/>
      <c r="D716" s="139"/>
      <c r="E716" s="139"/>
      <c r="F716" s="139"/>
      <c r="G716" s="155"/>
    </row>
    <row r="717" spans="2:14" x14ac:dyDescent="0.25">
      <c r="B717" s="154"/>
      <c r="C717" s="139"/>
      <c r="D717" s="139"/>
      <c r="E717" s="139"/>
      <c r="F717" s="139"/>
      <c r="G717" s="155"/>
    </row>
    <row r="718" spans="2:14" x14ac:dyDescent="0.25">
      <c r="B718" s="154"/>
      <c r="C718" s="139"/>
      <c r="D718" s="139"/>
      <c r="E718" s="139"/>
      <c r="F718" s="139"/>
      <c r="G718" s="155"/>
    </row>
    <row r="719" spans="2:14" x14ac:dyDescent="0.25">
      <c r="B719" s="154"/>
      <c r="C719" s="139"/>
      <c r="D719" s="139"/>
      <c r="E719" s="139"/>
      <c r="F719" s="139"/>
      <c r="G719" s="155"/>
    </row>
    <row r="720" spans="2:14" x14ac:dyDescent="0.25">
      <c r="B720" s="154"/>
      <c r="C720" s="139"/>
      <c r="D720" s="139"/>
      <c r="E720" s="139"/>
      <c r="F720" s="139"/>
      <c r="G720" s="155"/>
    </row>
    <row r="721" spans="2:13" x14ac:dyDescent="0.25">
      <c r="B721" s="154"/>
      <c r="C721" s="139"/>
      <c r="D721" s="139"/>
      <c r="E721" s="139"/>
      <c r="F721" s="139"/>
      <c r="G721" s="155"/>
    </row>
    <row r="722" spans="2:13" x14ac:dyDescent="0.25">
      <c r="B722" s="154"/>
      <c r="C722" s="139"/>
      <c r="D722" s="139"/>
      <c r="E722" s="139"/>
      <c r="F722" s="139"/>
      <c r="G722" s="155"/>
    </row>
    <row r="723" spans="2:13" x14ac:dyDescent="0.25">
      <c r="B723" s="154"/>
      <c r="C723" s="139"/>
      <c r="D723" s="139"/>
      <c r="E723" s="139"/>
      <c r="F723" s="139"/>
      <c r="G723" s="155"/>
    </row>
    <row r="724" spans="2:13" x14ac:dyDescent="0.25">
      <c r="B724" s="154"/>
      <c r="C724" s="139"/>
      <c r="D724" s="139"/>
      <c r="E724" s="139"/>
      <c r="F724" s="139"/>
      <c r="G724" s="155"/>
    </row>
    <row r="725" spans="2:13" x14ac:dyDescent="0.25">
      <c r="B725" s="154"/>
      <c r="C725" s="139"/>
      <c r="D725" s="139"/>
      <c r="E725" s="139"/>
      <c r="F725" s="139"/>
      <c r="G725" s="155"/>
    </row>
    <row r="726" spans="2:13" x14ac:dyDescent="0.25">
      <c r="B726" s="154"/>
      <c r="C726" s="139"/>
      <c r="D726" s="139"/>
      <c r="E726" s="139"/>
      <c r="F726" s="139"/>
      <c r="G726" s="155"/>
    </row>
    <row r="727" spans="2:13" x14ac:dyDescent="0.25">
      <c r="B727" s="154"/>
      <c r="C727" s="139"/>
      <c r="D727" s="139"/>
      <c r="E727" s="139"/>
      <c r="F727" s="139"/>
      <c r="G727" s="155"/>
    </row>
    <row r="728" spans="2:13" x14ac:dyDescent="0.25">
      <c r="B728" s="154"/>
      <c r="C728" s="139"/>
      <c r="D728" s="139"/>
      <c r="E728" s="139"/>
      <c r="F728" s="139"/>
      <c r="G728" s="155"/>
    </row>
    <row r="729" spans="2:13" x14ac:dyDescent="0.25">
      <c r="B729" s="154"/>
      <c r="C729" s="139"/>
      <c r="D729" s="139"/>
      <c r="E729" s="139"/>
      <c r="F729" s="139"/>
      <c r="G729" s="155"/>
    </row>
    <row r="730" spans="2:13" x14ac:dyDescent="0.25">
      <c r="B730" s="154"/>
      <c r="C730" s="139"/>
      <c r="D730" s="139"/>
      <c r="E730" s="139"/>
      <c r="F730" s="139"/>
      <c r="G730" s="155"/>
    </row>
    <row r="731" spans="2:13" x14ac:dyDescent="0.25">
      <c r="B731" s="154"/>
      <c r="C731" s="139"/>
      <c r="D731" s="139"/>
      <c r="E731" s="139"/>
      <c r="F731" s="139"/>
      <c r="G731" s="155"/>
    </row>
    <row r="732" spans="2:13" x14ac:dyDescent="0.25">
      <c r="B732" s="154"/>
      <c r="C732" s="139"/>
      <c r="D732" s="139"/>
      <c r="E732" s="139"/>
      <c r="F732" s="139"/>
      <c r="G732" s="155"/>
    </row>
    <row r="733" spans="2:13" x14ac:dyDescent="0.25">
      <c r="B733" s="154"/>
      <c r="C733" s="139"/>
      <c r="D733" s="139"/>
      <c r="E733" s="139"/>
      <c r="F733" s="139"/>
      <c r="G733" s="155"/>
    </row>
    <row r="734" spans="2:13" x14ac:dyDescent="0.25">
      <c r="B734" s="154"/>
      <c r="C734" s="139"/>
      <c r="D734" s="139"/>
      <c r="E734" s="139"/>
      <c r="F734" s="139"/>
      <c r="G734" s="155"/>
    </row>
    <row r="735" spans="2:13" ht="15.75" thickBot="1" x14ac:dyDescent="0.3">
      <c r="B735" s="156"/>
      <c r="C735" s="157"/>
      <c r="D735" s="157"/>
      <c r="E735" s="157"/>
      <c r="F735" s="157"/>
      <c r="G735" s="158"/>
    </row>
    <row r="736" spans="2:13" ht="15.75" thickTop="1" x14ac:dyDescent="0.25">
      <c r="H736" s="73"/>
      <c r="I736" s="73"/>
      <c r="J736" s="73"/>
      <c r="K736" s="73"/>
      <c r="L736" s="73"/>
      <c r="M736" s="73"/>
    </row>
    <row r="737" spans="2:14" x14ac:dyDescent="0.25">
      <c r="B737" s="2"/>
    </row>
    <row r="738" spans="2:14" ht="9.75" customHeight="1" x14ac:dyDescent="0.25">
      <c r="B738" s="2"/>
    </row>
    <row r="740" spans="2:14" x14ac:dyDescent="0.25">
      <c r="B740" s="3" t="s">
        <v>43</v>
      </c>
      <c r="C740" s="4"/>
      <c r="D740" s="4"/>
      <c r="E740" s="4"/>
    </row>
    <row r="741" spans="2:14" ht="15.75" customHeight="1" x14ac:dyDescent="0.25">
      <c r="B741" s="2"/>
    </row>
    <row r="742" spans="2:14" ht="20.100000000000001" customHeight="1" thickBot="1" x14ac:dyDescent="0.3">
      <c r="B742" s="2"/>
      <c r="C742" s="132" t="s">
        <v>44</v>
      </c>
      <c r="D742" s="132"/>
      <c r="E742" s="132"/>
      <c r="F742" s="132"/>
      <c r="G742" s="132"/>
      <c r="H742" s="132"/>
      <c r="I742" s="132"/>
      <c r="J742" s="132"/>
      <c r="K742" s="132"/>
      <c r="L742" s="132"/>
      <c r="M742" s="132"/>
      <c r="N742" s="132"/>
    </row>
    <row r="743" spans="2:14" ht="15.75" customHeight="1" thickBot="1" x14ac:dyDescent="0.3">
      <c r="C743" s="144" t="s">
        <v>39</v>
      </c>
      <c r="D743" s="145"/>
      <c r="E743" s="145"/>
      <c r="F743" s="146"/>
      <c r="G743" s="5" t="s">
        <v>4</v>
      </c>
      <c r="H743" s="6"/>
      <c r="I743" s="6"/>
      <c r="J743" s="6"/>
      <c r="K743" s="6"/>
      <c r="L743" s="7"/>
      <c r="M743" s="7"/>
      <c r="N743" s="8"/>
    </row>
    <row r="744" spans="2:14" ht="15" customHeight="1" x14ac:dyDescent="0.25">
      <c r="B744" s="147"/>
      <c r="C744" s="149" t="s">
        <v>5</v>
      </c>
      <c r="D744" s="150"/>
      <c r="E744" s="150" t="s">
        <v>6</v>
      </c>
      <c r="F744" s="151"/>
      <c r="G744" s="9">
        <v>2016</v>
      </c>
      <c r="H744" s="9"/>
      <c r="I744" s="9"/>
      <c r="J744" s="10">
        <v>2019</v>
      </c>
      <c r="K744" s="10"/>
      <c r="L744" s="10"/>
      <c r="M744" s="10"/>
      <c r="N744" s="10"/>
    </row>
    <row r="745" spans="2:14" ht="15.75" thickBot="1" x14ac:dyDescent="0.3">
      <c r="B745" s="148"/>
      <c r="C745" s="11" t="s">
        <v>7</v>
      </c>
      <c r="D745" s="12" t="s">
        <v>8</v>
      </c>
      <c r="E745" s="12" t="s">
        <v>7</v>
      </c>
      <c r="F745" s="13" t="s">
        <v>8</v>
      </c>
      <c r="G745" s="14" t="s">
        <v>7</v>
      </c>
      <c r="H745" s="15" t="s">
        <v>8</v>
      </c>
      <c r="I745" s="16" t="s">
        <v>9</v>
      </c>
      <c r="J745" s="80" t="s">
        <v>7</v>
      </c>
      <c r="K745" s="81"/>
      <c r="L745" s="81" t="s">
        <v>8</v>
      </c>
      <c r="M745" s="81"/>
      <c r="N745" s="17" t="s">
        <v>9</v>
      </c>
    </row>
    <row r="746" spans="2:14" ht="15.75" thickBot="1" x14ac:dyDescent="0.3">
      <c r="B746" s="18"/>
      <c r="C746" s="19">
        <v>0.45</v>
      </c>
      <c r="D746" s="20">
        <v>0.55000000000000004</v>
      </c>
      <c r="E746" s="19">
        <v>1</v>
      </c>
      <c r="F746" s="20">
        <v>1</v>
      </c>
      <c r="G746" s="21">
        <f>SUM(G747:G752)</f>
        <v>864</v>
      </c>
      <c r="H746" s="25">
        <f>SUM(H747:H752)</f>
        <v>1691</v>
      </c>
      <c r="I746" s="23">
        <f>G746+H746</f>
        <v>2555</v>
      </c>
      <c r="J746" s="21">
        <v>977</v>
      </c>
      <c r="K746" s="24">
        <v>1</v>
      </c>
      <c r="L746" s="25">
        <v>1737</v>
      </c>
      <c r="M746" s="24">
        <v>1</v>
      </c>
      <c r="N746" s="23">
        <f>J746+L746</f>
        <v>2714</v>
      </c>
    </row>
    <row r="747" spans="2:14" x14ac:dyDescent="0.25">
      <c r="B747" s="26" t="s">
        <v>10</v>
      </c>
      <c r="C747" s="27">
        <v>0.35</v>
      </c>
      <c r="D747" s="28">
        <v>0.65</v>
      </c>
      <c r="E747" s="29">
        <v>0.06</v>
      </c>
      <c r="F747" s="30">
        <v>0.09</v>
      </c>
      <c r="G747" s="31">
        <v>47</v>
      </c>
      <c r="H747" s="32">
        <v>102</v>
      </c>
      <c r="I747" s="33">
        <f>G747+H747</f>
        <v>149</v>
      </c>
      <c r="J747" s="31">
        <v>59</v>
      </c>
      <c r="K747" s="85">
        <f>J747/$J$746</f>
        <v>6.0388945752302969E-2</v>
      </c>
      <c r="L747" s="76">
        <v>96</v>
      </c>
      <c r="M747" s="83">
        <f>L747/$L$746</f>
        <v>5.5267702936096716E-2</v>
      </c>
      <c r="N747" s="33">
        <f>J747+L747</f>
        <v>155</v>
      </c>
    </row>
    <row r="748" spans="2:14" x14ac:dyDescent="0.25">
      <c r="B748" s="26" t="s">
        <v>11</v>
      </c>
      <c r="C748" s="27">
        <v>0.46</v>
      </c>
      <c r="D748" s="28">
        <v>0.54</v>
      </c>
      <c r="E748" s="29">
        <v>0.23</v>
      </c>
      <c r="F748" s="30">
        <v>0.22</v>
      </c>
      <c r="G748" s="31">
        <v>229</v>
      </c>
      <c r="H748" s="32">
        <v>437</v>
      </c>
      <c r="I748" s="33">
        <f t="shared" ref="I748:I752" si="38">G748+H748</f>
        <v>666</v>
      </c>
      <c r="J748" s="31">
        <v>265</v>
      </c>
      <c r="K748" s="85">
        <f t="shared" ref="K748:K752" si="39">J748/$J$746</f>
        <v>0.2712384851586489</v>
      </c>
      <c r="L748" s="32">
        <v>459</v>
      </c>
      <c r="M748" s="83">
        <f t="shared" ref="M748:M752" si="40">L748/$L$746</f>
        <v>0.26424870466321243</v>
      </c>
      <c r="N748" s="33">
        <f t="shared" ref="N748:N752" si="41">J748+L748</f>
        <v>724</v>
      </c>
    </row>
    <row r="749" spans="2:14" x14ac:dyDescent="0.25">
      <c r="B749" s="26" t="s">
        <v>12</v>
      </c>
      <c r="C749" s="27">
        <v>0.46</v>
      </c>
      <c r="D749" s="28">
        <v>0.54</v>
      </c>
      <c r="E749" s="29">
        <v>0.22</v>
      </c>
      <c r="F749" s="30">
        <v>0.21</v>
      </c>
      <c r="G749" s="31">
        <v>175</v>
      </c>
      <c r="H749" s="32">
        <v>380</v>
      </c>
      <c r="I749" s="33">
        <f t="shared" si="38"/>
        <v>555</v>
      </c>
      <c r="J749" s="31">
        <v>218</v>
      </c>
      <c r="K749" s="85">
        <f t="shared" si="39"/>
        <v>0.22313203684749233</v>
      </c>
      <c r="L749" s="32">
        <v>412</v>
      </c>
      <c r="M749" s="83">
        <f t="shared" si="40"/>
        <v>0.23719055843408174</v>
      </c>
      <c r="N749" s="33">
        <f t="shared" si="41"/>
        <v>630</v>
      </c>
    </row>
    <row r="750" spans="2:14" x14ac:dyDescent="0.25">
      <c r="B750" s="26" t="s">
        <v>13</v>
      </c>
      <c r="C750" s="27">
        <v>0.45</v>
      </c>
      <c r="D750" s="28">
        <v>0.55000000000000004</v>
      </c>
      <c r="E750" s="29">
        <v>0.24</v>
      </c>
      <c r="F750" s="30">
        <v>0.24</v>
      </c>
      <c r="G750" s="31">
        <v>216</v>
      </c>
      <c r="H750" s="32">
        <v>427</v>
      </c>
      <c r="I750" s="33">
        <f t="shared" si="38"/>
        <v>643</v>
      </c>
      <c r="J750" s="31">
        <v>208</v>
      </c>
      <c r="K750" s="85">
        <f t="shared" si="39"/>
        <v>0.21289662231320369</v>
      </c>
      <c r="L750" s="32">
        <v>399</v>
      </c>
      <c r="M750" s="83">
        <f t="shared" si="40"/>
        <v>0.22970639032815199</v>
      </c>
      <c r="N750" s="33">
        <f t="shared" si="41"/>
        <v>607</v>
      </c>
    </row>
    <row r="751" spans="2:14" x14ac:dyDescent="0.25">
      <c r="B751" s="26" t="s">
        <v>14</v>
      </c>
      <c r="C751" s="27">
        <v>0.45</v>
      </c>
      <c r="D751" s="28">
        <v>0.55000000000000004</v>
      </c>
      <c r="E751" s="29">
        <v>0.21</v>
      </c>
      <c r="F751" s="30">
        <v>0.21</v>
      </c>
      <c r="G751" s="31">
        <v>170</v>
      </c>
      <c r="H751" s="32">
        <v>317</v>
      </c>
      <c r="I751" s="33">
        <f t="shared" si="38"/>
        <v>487</v>
      </c>
      <c r="J751" s="31">
        <v>202</v>
      </c>
      <c r="K751" s="85">
        <f t="shared" si="39"/>
        <v>0.20675537359263049</v>
      </c>
      <c r="L751" s="32">
        <v>340</v>
      </c>
      <c r="M751" s="83">
        <f t="shared" si="40"/>
        <v>0.19573978123200922</v>
      </c>
      <c r="N751" s="33">
        <f t="shared" si="41"/>
        <v>542</v>
      </c>
    </row>
    <row r="752" spans="2:14" ht="15.75" thickBot="1" x14ac:dyDescent="0.3">
      <c r="B752" s="36" t="s">
        <v>15</v>
      </c>
      <c r="C752" s="37">
        <v>0.56000000000000005</v>
      </c>
      <c r="D752" s="38">
        <v>0.44</v>
      </c>
      <c r="E752" s="37">
        <v>0.03</v>
      </c>
      <c r="F752" s="38">
        <v>0.02</v>
      </c>
      <c r="G752" s="39">
        <v>27</v>
      </c>
      <c r="H752" s="94">
        <v>28</v>
      </c>
      <c r="I752" s="82">
        <f t="shared" si="38"/>
        <v>55</v>
      </c>
      <c r="J752" s="39">
        <v>25</v>
      </c>
      <c r="K752" s="86">
        <f t="shared" si="39"/>
        <v>2.5588536335721598E-2</v>
      </c>
      <c r="L752" s="40">
        <v>31</v>
      </c>
      <c r="M752" s="84">
        <f t="shared" si="40"/>
        <v>1.7846862406447898E-2</v>
      </c>
      <c r="N752" s="82">
        <f t="shared" si="41"/>
        <v>56</v>
      </c>
    </row>
    <row r="753" spans="2:18" x14ac:dyDescent="0.25">
      <c r="B753" s="44" t="s">
        <v>40</v>
      </c>
      <c r="C753" s="45"/>
      <c r="D753" s="45"/>
      <c r="E753" s="45"/>
      <c r="F753" s="45"/>
      <c r="G753" s="46"/>
      <c r="H753" s="46"/>
      <c r="I753" s="46"/>
      <c r="J753" s="46"/>
      <c r="K753" s="46"/>
      <c r="L753" s="46"/>
    </row>
    <row r="754" spans="2:18" ht="15" customHeight="1" x14ac:dyDescent="0.25">
      <c r="B754" s="133" t="s">
        <v>16</v>
      </c>
      <c r="C754" s="133"/>
      <c r="D754" s="133"/>
      <c r="E754" s="133"/>
      <c r="F754" s="89"/>
      <c r="G754" s="89"/>
      <c r="H754" s="89"/>
      <c r="I754" s="89"/>
      <c r="J754" s="89"/>
      <c r="K754" s="89"/>
      <c r="L754" s="46"/>
    </row>
    <row r="755" spans="2:18" x14ac:dyDescent="0.25">
      <c r="B755" s="47" t="s">
        <v>89</v>
      </c>
      <c r="C755" s="48"/>
      <c r="D755" s="48"/>
      <c r="E755" s="48"/>
      <c r="F755" s="48"/>
      <c r="G755" s="48"/>
      <c r="H755" s="48"/>
      <c r="I755" s="48"/>
      <c r="J755" s="48"/>
      <c r="K755" s="48"/>
    </row>
    <row r="756" spans="2:18" x14ac:dyDescent="0.25">
      <c r="B756" s="66" t="s">
        <v>22</v>
      </c>
    </row>
    <row r="757" spans="2:18" x14ac:dyDescent="0.25">
      <c r="B757" s="66"/>
    </row>
    <row r="758" spans="2:18" ht="20.100000000000001" customHeight="1" thickBot="1" x14ac:dyDescent="0.3">
      <c r="C758" s="132" t="s">
        <v>44</v>
      </c>
      <c r="D758" s="132"/>
      <c r="E758" s="132"/>
      <c r="F758" s="132"/>
      <c r="G758" s="132"/>
      <c r="H758" s="132"/>
      <c r="I758" s="132"/>
      <c r="J758" s="132"/>
      <c r="K758" s="132"/>
      <c r="L758" s="132"/>
      <c r="M758" s="132"/>
      <c r="N758" s="132"/>
    </row>
    <row r="759" spans="2:18" ht="29.25" customHeight="1" x14ac:dyDescent="0.25">
      <c r="B759" s="49"/>
      <c r="C759" s="50" t="s">
        <v>17</v>
      </c>
      <c r="D759" s="51"/>
      <c r="E759" s="51"/>
      <c r="F759" s="51"/>
      <c r="G759" s="52"/>
      <c r="H759" s="51"/>
      <c r="I759" s="50" t="s">
        <v>18</v>
      </c>
      <c r="J759" s="51"/>
      <c r="K759" s="51"/>
      <c r="L759" s="51"/>
      <c r="M759" s="52"/>
      <c r="N759" s="52"/>
    </row>
    <row r="760" spans="2:18" x14ac:dyDescent="0.25">
      <c r="B760" s="53"/>
      <c r="C760" s="9">
        <v>2016</v>
      </c>
      <c r="D760" s="9"/>
      <c r="E760" s="9"/>
      <c r="F760" s="10">
        <v>2019</v>
      </c>
      <c r="G760" s="10"/>
      <c r="H760" s="10"/>
      <c r="I760" s="9">
        <v>2016</v>
      </c>
      <c r="J760" s="9"/>
      <c r="K760" s="9"/>
      <c r="L760" s="10">
        <v>2019</v>
      </c>
      <c r="M760" s="10"/>
      <c r="N760" s="10"/>
    </row>
    <row r="761" spans="2:18" ht="15.75" thickBot="1" x14ac:dyDescent="0.3">
      <c r="B761" s="54"/>
      <c r="C761" s="14" t="s">
        <v>7</v>
      </c>
      <c r="D761" s="15" t="s">
        <v>8</v>
      </c>
      <c r="E761" s="16" t="s">
        <v>9</v>
      </c>
      <c r="F761" s="81" t="s">
        <v>7</v>
      </c>
      <c r="G761" s="81" t="s">
        <v>8</v>
      </c>
      <c r="H761" s="17" t="s">
        <v>9</v>
      </c>
      <c r="I761" s="14" t="s">
        <v>7</v>
      </c>
      <c r="J761" s="15" t="s">
        <v>8</v>
      </c>
      <c r="K761" s="16" t="s">
        <v>9</v>
      </c>
      <c r="L761" s="81" t="s">
        <v>7</v>
      </c>
      <c r="M761" s="81" t="s">
        <v>8</v>
      </c>
      <c r="N761" s="17" t="s">
        <v>9</v>
      </c>
    </row>
    <row r="762" spans="2:18" ht="15.75" thickBot="1" x14ac:dyDescent="0.3">
      <c r="B762" s="18"/>
      <c r="C762" s="56">
        <v>38.137916239601459</v>
      </c>
      <c r="D762" s="57">
        <v>54.976619493844474</v>
      </c>
      <c r="E762" s="57">
        <v>47.834662437995142</v>
      </c>
      <c r="F762" s="56">
        <v>40.253402792770373</v>
      </c>
      <c r="G762" s="57">
        <v>54.820668244062752</v>
      </c>
      <c r="H762" s="58">
        <v>48.502074026603225</v>
      </c>
      <c r="I762" s="56">
        <v>21.067431655020613</v>
      </c>
      <c r="J762" s="57">
        <v>29.409062881863463</v>
      </c>
      <c r="K762" s="58">
        <v>25.936334409838402</v>
      </c>
      <c r="L762" s="57">
        <v>22.759965531860921</v>
      </c>
      <c r="M762" s="57">
        <v>30.02513856022377</v>
      </c>
      <c r="N762" s="58">
        <v>26.930541118468536</v>
      </c>
      <c r="P762" s="62"/>
      <c r="Q762" s="62"/>
      <c r="R762" s="62"/>
    </row>
    <row r="763" spans="2:18" x14ac:dyDescent="0.25">
      <c r="B763" s="26" t="s">
        <v>10</v>
      </c>
      <c r="C763" s="59">
        <v>44.915472902590757</v>
      </c>
      <c r="D763" s="60">
        <v>45.097623089983017</v>
      </c>
      <c r="E763" s="61">
        <v>45.040007012940691</v>
      </c>
      <c r="F763" s="59">
        <v>48.851978505129459</v>
      </c>
      <c r="G763" s="60">
        <v>42.72268084822322</v>
      </c>
      <c r="H763" s="61">
        <v>44.865374929807395</v>
      </c>
      <c r="I763" s="59">
        <v>25.237961760729085</v>
      </c>
      <c r="J763" s="60">
        <v>25.030208025568111</v>
      </c>
      <c r="K763" s="61">
        <v>25.095370830420979</v>
      </c>
      <c r="L763" s="59">
        <v>27.922767140544419</v>
      </c>
      <c r="M763" s="60">
        <v>23.916451047196382</v>
      </c>
      <c r="N763" s="61">
        <v>25.298090790463931</v>
      </c>
      <c r="P763" s="62"/>
      <c r="Q763" s="62"/>
      <c r="R763" s="62"/>
    </row>
    <row r="764" spans="2:18" x14ac:dyDescent="0.25">
      <c r="B764" s="26" t="s">
        <v>11</v>
      </c>
      <c r="C764" s="59">
        <v>41.873902867173783</v>
      </c>
      <c r="D764" s="60">
        <v>63.642414100945317</v>
      </c>
      <c r="E764" s="61">
        <v>53.991434331904642</v>
      </c>
      <c r="F764" s="59">
        <v>43.963190367250242</v>
      </c>
      <c r="G764" s="60">
        <v>64.141351328312894</v>
      </c>
      <c r="H764" s="61">
        <v>54.915714996541219</v>
      </c>
      <c r="I764" s="59">
        <v>23.185114306157104</v>
      </c>
      <c r="J764" s="60">
        <v>33.840009391570568</v>
      </c>
      <c r="K764" s="61">
        <v>29.222401120455309</v>
      </c>
      <c r="L764" s="59">
        <v>24.846726637851212</v>
      </c>
      <c r="M764" s="60">
        <v>34.665776524043103</v>
      </c>
      <c r="N764" s="61">
        <v>30.285140369157624</v>
      </c>
      <c r="P764" s="62"/>
      <c r="Q764" s="62"/>
      <c r="R764" s="62"/>
    </row>
    <row r="765" spans="2:18" x14ac:dyDescent="0.25">
      <c r="B765" s="26" t="s">
        <v>12</v>
      </c>
      <c r="C765" s="59">
        <v>35.868226285465987</v>
      </c>
      <c r="D765" s="60">
        <v>56.007298635337953</v>
      </c>
      <c r="E765" s="61">
        <v>47.583120423875584</v>
      </c>
      <c r="F765" s="59">
        <v>41.616157759599872</v>
      </c>
      <c r="G765" s="60">
        <v>57.562078326340661</v>
      </c>
      <c r="H765" s="61">
        <v>50.823502078116526</v>
      </c>
      <c r="I765" s="59">
        <v>19.783988241754003</v>
      </c>
      <c r="J765" s="60">
        <v>29.755801187084199</v>
      </c>
      <c r="K765" s="61">
        <v>25.675240315623185</v>
      </c>
      <c r="L765" s="59">
        <v>23.717742337743168</v>
      </c>
      <c r="M765" s="60">
        <v>31.27617648013765</v>
      </c>
      <c r="N765" s="61">
        <v>28.169773553693702</v>
      </c>
      <c r="P765" s="62"/>
      <c r="Q765" s="62"/>
      <c r="R765" s="62"/>
    </row>
    <row r="766" spans="2:18" x14ac:dyDescent="0.25">
      <c r="B766" s="26" t="s">
        <v>13</v>
      </c>
      <c r="C766" s="59">
        <v>38.62702389510617</v>
      </c>
      <c r="D766" s="60">
        <v>56.307271550058751</v>
      </c>
      <c r="E766" s="61">
        <v>48.803331681255798</v>
      </c>
      <c r="F766" s="59">
        <v>38.174733832174326</v>
      </c>
      <c r="G766" s="60">
        <v>56.481020112339195</v>
      </c>
      <c r="H766" s="61">
        <v>48.509743905314089</v>
      </c>
      <c r="I766" s="59">
        <v>21.206319522488663</v>
      </c>
      <c r="J766" s="60">
        <v>29.968230867951551</v>
      </c>
      <c r="K766" s="61">
        <v>26.315719467882239</v>
      </c>
      <c r="L766" s="59">
        <v>21.431338580893438</v>
      </c>
      <c r="M766" s="60">
        <v>30.922215074979743</v>
      </c>
      <c r="N766" s="61">
        <v>26.848002801420574</v>
      </c>
      <c r="P766" s="62"/>
      <c r="Q766" s="62"/>
      <c r="R766" s="62"/>
    </row>
    <row r="767" spans="2:18" x14ac:dyDescent="0.25">
      <c r="B767" s="26" t="s">
        <v>14</v>
      </c>
      <c r="C767" s="59">
        <v>34.463674273678066</v>
      </c>
      <c r="D767" s="60">
        <v>48.437249314314961</v>
      </c>
      <c r="E767" s="61">
        <v>42.431656280930682</v>
      </c>
      <c r="F767" s="59">
        <v>37.286295994122796</v>
      </c>
      <c r="G767" s="60">
        <v>47.573938996217869</v>
      </c>
      <c r="H767" s="61">
        <v>43.138063291975442</v>
      </c>
      <c r="I767" s="59">
        <v>19.042903661950376</v>
      </c>
      <c r="J767" s="60">
        <v>26.025821720165606</v>
      </c>
      <c r="K767" s="61">
        <v>23.072453996156138</v>
      </c>
      <c r="L767" s="59">
        <v>21.016157167529396</v>
      </c>
      <c r="M767" s="60">
        <v>26.366390495269847</v>
      </c>
      <c r="N767" s="61">
        <v>24.08154977437383</v>
      </c>
      <c r="P767" s="62"/>
      <c r="Q767" s="62"/>
      <c r="R767" s="62"/>
    </row>
    <row r="768" spans="2:18" ht="15.75" thickBot="1" x14ac:dyDescent="0.3">
      <c r="B768" s="36" t="s">
        <v>15</v>
      </c>
      <c r="C768" s="63">
        <v>36.696748939871696</v>
      </c>
      <c r="D768" s="64">
        <v>39.023846357542055</v>
      </c>
      <c r="E768" s="65">
        <v>37.845685935855002</v>
      </c>
      <c r="F768" s="63">
        <v>26.846790734635579</v>
      </c>
      <c r="G768" s="64">
        <v>33.938013859846954</v>
      </c>
      <c r="H768" s="65">
        <v>30.358227079538558</v>
      </c>
      <c r="I768" s="63">
        <v>20.556111331898972</v>
      </c>
      <c r="J768" s="64">
        <v>21.353735302147729</v>
      </c>
      <c r="K768" s="65">
        <v>20.954584177231585</v>
      </c>
      <c r="L768" s="63">
        <v>15.249535654689222</v>
      </c>
      <c r="M768" s="64">
        <v>19.073282134081236</v>
      </c>
      <c r="N768" s="65">
        <v>17.153161046697896</v>
      </c>
      <c r="P768" s="62"/>
      <c r="Q768" s="62"/>
      <c r="R768" s="62"/>
    </row>
    <row r="769" spans="2:14" x14ac:dyDescent="0.25">
      <c r="B769" s="44" t="s">
        <v>41</v>
      </c>
      <c r="C769" s="45"/>
      <c r="D769" s="45"/>
      <c r="E769" s="45"/>
      <c r="F769" s="45"/>
      <c r="G769" s="46"/>
      <c r="H769" s="46"/>
      <c r="I769" s="46"/>
      <c r="J769" s="46"/>
      <c r="K769" s="46"/>
      <c r="L769" s="60"/>
      <c r="M769" s="60"/>
      <c r="N769" s="60"/>
    </row>
    <row r="770" spans="2:14" ht="15" customHeight="1" x14ac:dyDescent="0.25">
      <c r="B770" s="133" t="s">
        <v>16</v>
      </c>
      <c r="C770" s="133"/>
      <c r="D770" s="133"/>
      <c r="E770" s="133"/>
      <c r="F770" s="133"/>
      <c r="G770" s="133"/>
      <c r="H770" s="89"/>
      <c r="I770" s="89"/>
      <c r="J770" s="89"/>
      <c r="K770" s="89"/>
      <c r="L770" s="60"/>
      <c r="M770" s="60"/>
      <c r="N770" s="60"/>
    </row>
    <row r="771" spans="2:14" x14ac:dyDescent="0.25">
      <c r="B771" s="47" t="s">
        <v>90</v>
      </c>
      <c r="C771" s="48"/>
      <c r="D771" s="48"/>
      <c r="E771" s="48"/>
      <c r="F771" s="48"/>
      <c r="G771" s="48"/>
      <c r="H771" s="48"/>
      <c r="I771" s="48"/>
      <c r="J771" s="48"/>
      <c r="K771" s="48"/>
    </row>
    <row r="772" spans="2:14" x14ac:dyDescent="0.25">
      <c r="B772" s="66"/>
    </row>
    <row r="773" spans="2:14" ht="20.100000000000001" customHeight="1" thickBot="1" x14ac:dyDescent="0.3">
      <c r="C773" s="132" t="s">
        <v>44</v>
      </c>
      <c r="D773" s="132"/>
      <c r="E773" s="132"/>
      <c r="F773" s="132"/>
      <c r="G773" s="132"/>
      <c r="H773" s="132"/>
      <c r="I773" s="132"/>
      <c r="J773" s="132"/>
      <c r="K773" s="132"/>
      <c r="L773" s="132"/>
      <c r="M773" s="132"/>
      <c r="N773" s="132"/>
    </row>
    <row r="774" spans="2:14" ht="42.75" customHeight="1" x14ac:dyDescent="0.25">
      <c r="B774" s="49"/>
      <c r="C774" s="67" t="s">
        <v>19</v>
      </c>
      <c r="D774" s="68"/>
      <c r="E774" s="68"/>
      <c r="F774" s="68"/>
      <c r="G774" s="69"/>
      <c r="H774" s="68"/>
      <c r="I774" s="67" t="s">
        <v>20</v>
      </c>
      <c r="J774" s="68"/>
      <c r="K774" s="68"/>
      <c r="L774" s="68"/>
      <c r="M774" s="69"/>
      <c r="N774" s="69"/>
    </row>
    <row r="775" spans="2:14" x14ac:dyDescent="0.25">
      <c r="B775" s="53"/>
      <c r="C775" s="9">
        <v>2016</v>
      </c>
      <c r="D775" s="9"/>
      <c r="E775" s="9"/>
      <c r="F775" s="10">
        <v>2019</v>
      </c>
      <c r="G775" s="10"/>
      <c r="H775" s="10"/>
      <c r="I775" s="9">
        <v>2016</v>
      </c>
      <c r="J775" s="9"/>
      <c r="K775" s="9"/>
      <c r="L775" s="10">
        <v>2019</v>
      </c>
      <c r="M775" s="10"/>
      <c r="N775" s="10"/>
    </row>
    <row r="776" spans="2:14" ht="15.75" thickBot="1" x14ac:dyDescent="0.3">
      <c r="B776" s="54"/>
      <c r="C776" s="14" t="s">
        <v>7</v>
      </c>
      <c r="D776" s="15" t="s">
        <v>8</v>
      </c>
      <c r="E776" s="16" t="s">
        <v>9</v>
      </c>
      <c r="F776" s="81" t="s">
        <v>7</v>
      </c>
      <c r="G776" s="81" t="s">
        <v>8</v>
      </c>
      <c r="H776" s="17" t="s">
        <v>9</v>
      </c>
      <c r="I776" s="14" t="s">
        <v>7</v>
      </c>
      <c r="J776" s="15" t="s">
        <v>8</v>
      </c>
      <c r="K776" s="16" t="s">
        <v>9</v>
      </c>
      <c r="L776" s="81" t="s">
        <v>7</v>
      </c>
      <c r="M776" s="81" t="s">
        <v>8</v>
      </c>
      <c r="N776" s="17" t="s">
        <v>9</v>
      </c>
    </row>
    <row r="777" spans="2:14" ht="15.75" thickBot="1" x14ac:dyDescent="0.3">
      <c r="B777" s="18"/>
      <c r="C777" s="56">
        <v>1.5576732279930865</v>
      </c>
      <c r="D777" s="57">
        <v>1.9385633371908888</v>
      </c>
      <c r="E777" s="57">
        <v>1.7799938810553206</v>
      </c>
      <c r="F777" s="56">
        <v>2.0281528743563251</v>
      </c>
      <c r="G777" s="57">
        <v>2.1266337205321215</v>
      </c>
      <c r="H777" s="58">
        <v>2.0846858448849073</v>
      </c>
      <c r="I777" s="56">
        <v>14.4594756613741</v>
      </c>
      <c r="J777" s="57">
        <v>17.930658681964065</v>
      </c>
      <c r="K777" s="58">
        <v>16.485560501595916</v>
      </c>
      <c r="L777" s="57">
        <v>16.027488514457126</v>
      </c>
      <c r="M777" s="57">
        <v>31.580845226834207</v>
      </c>
      <c r="N777" s="58">
        <v>24.955899375912903</v>
      </c>
    </row>
    <row r="778" spans="2:14" x14ac:dyDescent="0.25">
      <c r="B778" s="26" t="s">
        <v>10</v>
      </c>
      <c r="C778" s="59">
        <v>0.80464313428663192</v>
      </c>
      <c r="D778" s="60">
        <v>0.74367156342261553</v>
      </c>
      <c r="E778" s="60">
        <v>0.77392720523647252</v>
      </c>
      <c r="F778" s="59">
        <v>0.77663154029887105</v>
      </c>
      <c r="G778" s="60">
        <v>0.61136427989395747</v>
      </c>
      <c r="H778" s="60">
        <v>0.66835923733516001</v>
      </c>
      <c r="I778" s="59">
        <v>0</v>
      </c>
      <c r="J778" s="60">
        <v>0</v>
      </c>
      <c r="K778" s="60">
        <v>0</v>
      </c>
      <c r="L778" s="59">
        <v>2.8396034380214661</v>
      </c>
      <c r="M778" s="60">
        <v>4.7334642697576168</v>
      </c>
      <c r="N778" s="61">
        <v>4.0803372242683755</v>
      </c>
    </row>
    <row r="779" spans="2:14" x14ac:dyDescent="0.25">
      <c r="B779" s="26" t="s">
        <v>11</v>
      </c>
      <c r="C779" s="59">
        <v>1.6901124965714298</v>
      </c>
      <c r="D779" s="60">
        <v>1.8652132764690799</v>
      </c>
      <c r="E779" s="61">
        <v>1.7943860722883527</v>
      </c>
      <c r="F779" s="59">
        <v>1.4684884221595589</v>
      </c>
      <c r="G779" s="60">
        <v>1.4348157383353832</v>
      </c>
      <c r="H779" s="60">
        <v>1.449838350323327</v>
      </c>
      <c r="I779" s="59">
        <v>3.5435764223384223</v>
      </c>
      <c r="J779" s="60">
        <v>4.4913513608949502</v>
      </c>
      <c r="K779" s="60">
        <v>4.0806055618653811</v>
      </c>
      <c r="L779" s="59">
        <v>15.283080884434179</v>
      </c>
      <c r="M779" s="60">
        <v>8.8363744281103198</v>
      </c>
      <c r="N779" s="61">
        <v>11.712485230540437</v>
      </c>
    </row>
    <row r="780" spans="2:14" x14ac:dyDescent="0.25">
      <c r="B780" s="26" t="s">
        <v>12</v>
      </c>
      <c r="C780" s="59">
        <v>1.9827675483109299</v>
      </c>
      <c r="D780" s="60">
        <v>2.4730244540449799</v>
      </c>
      <c r="E780" s="61">
        <v>2.3019045276042385</v>
      </c>
      <c r="F780" s="59">
        <v>2.2784264221881534</v>
      </c>
      <c r="G780" s="60">
        <v>2.205198182672865</v>
      </c>
      <c r="H780" s="60">
        <v>2.2352938894482208</v>
      </c>
      <c r="I780" s="59">
        <v>6.7830816828870875</v>
      </c>
      <c r="J780" s="60">
        <v>9.5531782758533463</v>
      </c>
      <c r="K780" s="60">
        <v>8.4196283557539093</v>
      </c>
      <c r="L780" s="59">
        <v>21.650599656930691</v>
      </c>
      <c r="M780" s="60">
        <v>34.692263743381844</v>
      </c>
      <c r="N780" s="61">
        <v>29.332335649977654</v>
      </c>
    </row>
    <row r="781" spans="2:14" x14ac:dyDescent="0.25">
      <c r="B781" s="26" t="s">
        <v>13</v>
      </c>
      <c r="C781" s="59">
        <v>2.2087369249222912</v>
      </c>
      <c r="D781" s="60">
        <v>2.9625164053203989</v>
      </c>
      <c r="E781" s="61">
        <v>2.6609934185026889</v>
      </c>
      <c r="F781" s="59">
        <v>2.467591959970274</v>
      </c>
      <c r="G781" s="60">
        <v>2.6813977929303867</v>
      </c>
      <c r="H781" s="60">
        <v>2.589615927541304</v>
      </c>
      <c r="I781" s="59">
        <v>16.690158883440152</v>
      </c>
      <c r="J781" s="60">
        <v>22.318260927420596</v>
      </c>
      <c r="K781" s="60">
        <v>19.972116796775325</v>
      </c>
      <c r="L781" s="59">
        <v>9.5822811924187015</v>
      </c>
      <c r="M781" s="60">
        <v>38.749642951102437</v>
      </c>
      <c r="N781" s="61">
        <v>26.228773741750246</v>
      </c>
    </row>
    <row r="782" spans="2:14" x14ac:dyDescent="0.25">
      <c r="B782" s="26" t="s">
        <v>14</v>
      </c>
      <c r="C782" s="59">
        <v>1.7949812596404486</v>
      </c>
      <c r="D782" s="60">
        <v>2.2398431702603907</v>
      </c>
      <c r="E782" s="61">
        <v>2.0707130580945825</v>
      </c>
      <c r="F782" s="59">
        <v>2.3630691967628477</v>
      </c>
      <c r="G782" s="60">
        <v>2.6675032443223219</v>
      </c>
      <c r="H782" s="60">
        <v>2.537493342451171</v>
      </c>
      <c r="I782" s="59">
        <v>32.148902064586807</v>
      </c>
      <c r="J782" s="60">
        <v>38.094578164532621</v>
      </c>
      <c r="K782" s="60">
        <v>35.579903390376309</v>
      </c>
      <c r="L782" s="59">
        <v>19.247470673232371</v>
      </c>
      <c r="M782" s="60">
        <v>54.98167917392076</v>
      </c>
      <c r="N782" s="61">
        <v>39.721227927217996</v>
      </c>
    </row>
    <row r="783" spans="2:14" ht="15.75" thickBot="1" x14ac:dyDescent="0.3">
      <c r="B783" s="36" t="s">
        <v>15</v>
      </c>
      <c r="C783" s="63">
        <v>1.2689920389204428</v>
      </c>
      <c r="D783" s="64">
        <v>0.816026136340266</v>
      </c>
      <c r="E783" s="65">
        <v>1.0222506558608171</v>
      </c>
      <c r="F783" s="63">
        <v>1.3138999920080234</v>
      </c>
      <c r="G783" s="64">
        <v>2.1725083617884144</v>
      </c>
      <c r="H783" s="64">
        <v>1.7413521526870988</v>
      </c>
      <c r="I783" s="63">
        <v>31.214835726216958</v>
      </c>
      <c r="J783" s="64">
        <v>52.621704851721191</v>
      </c>
      <c r="K783" s="64">
        <v>41.909168354463169</v>
      </c>
      <c r="L783" s="63">
        <v>25.619219899877894</v>
      </c>
      <c r="M783" s="64">
        <v>15.381679140388092</v>
      </c>
      <c r="N783" s="65">
        <v>20.522531966584982</v>
      </c>
    </row>
    <row r="784" spans="2:14" x14ac:dyDescent="0.25">
      <c r="B784" s="44" t="s">
        <v>42</v>
      </c>
      <c r="C784" s="45"/>
      <c r="D784" s="45"/>
      <c r="E784" s="45"/>
      <c r="F784" s="45"/>
      <c r="G784" s="46"/>
      <c r="H784" s="46"/>
      <c r="I784" s="46"/>
      <c r="J784" s="46"/>
      <c r="K784" s="46"/>
      <c r="L784" s="60"/>
      <c r="M784" s="60"/>
      <c r="N784" s="60"/>
    </row>
    <row r="785" spans="2:14" ht="15" customHeight="1" x14ac:dyDescent="0.25">
      <c r="B785" s="133" t="s">
        <v>16</v>
      </c>
      <c r="C785" s="133"/>
      <c r="D785" s="133"/>
      <c r="E785" s="133"/>
      <c r="F785" s="133"/>
      <c r="G785" s="133"/>
      <c r="H785" s="89"/>
      <c r="I785" s="89"/>
      <c r="J785" s="89"/>
      <c r="K785" s="89"/>
      <c r="L785" s="60"/>
      <c r="M785" s="60"/>
      <c r="N785" s="60"/>
    </row>
    <row r="786" spans="2:14" x14ac:dyDescent="0.25">
      <c r="B786" s="47" t="s">
        <v>91</v>
      </c>
      <c r="C786" s="48"/>
      <c r="D786" s="48"/>
      <c r="E786" s="48"/>
      <c r="F786" s="48"/>
      <c r="G786" s="48"/>
      <c r="H786" s="48"/>
      <c r="I786" s="48"/>
      <c r="J786" s="48"/>
      <c r="K786" s="48"/>
    </row>
    <row r="787" spans="2:14" ht="15.75" thickBot="1" x14ac:dyDescent="0.3"/>
    <row r="788" spans="2:14" ht="15" customHeight="1" thickTop="1" x14ac:dyDescent="0.25">
      <c r="B788" s="204" t="s">
        <v>92</v>
      </c>
      <c r="C788" s="205"/>
      <c r="D788" s="205"/>
      <c r="E788" s="205"/>
      <c r="F788" s="205"/>
      <c r="G788" s="206"/>
    </row>
    <row r="789" spans="2:14" x14ac:dyDescent="0.25">
      <c r="B789" s="154"/>
      <c r="C789" s="139"/>
      <c r="D789" s="139"/>
      <c r="E789" s="139"/>
      <c r="F789" s="139"/>
      <c r="G789" s="155"/>
    </row>
    <row r="790" spans="2:14" x14ac:dyDescent="0.25">
      <c r="B790" s="154"/>
      <c r="C790" s="139"/>
      <c r="D790" s="139"/>
      <c r="E790" s="139"/>
      <c r="F790" s="139"/>
      <c r="G790" s="155"/>
    </row>
    <row r="791" spans="2:14" x14ac:dyDescent="0.25">
      <c r="B791" s="154"/>
      <c r="C791" s="139"/>
      <c r="D791" s="139"/>
      <c r="E791" s="139"/>
      <c r="F791" s="139"/>
      <c r="G791" s="155"/>
    </row>
    <row r="792" spans="2:14" x14ac:dyDescent="0.25">
      <c r="B792" s="154"/>
      <c r="C792" s="139"/>
      <c r="D792" s="139"/>
      <c r="E792" s="139"/>
      <c r="F792" s="139"/>
      <c r="G792" s="155"/>
    </row>
    <row r="793" spans="2:14" x14ac:dyDescent="0.25">
      <c r="B793" s="154"/>
      <c r="C793" s="139"/>
      <c r="D793" s="139"/>
      <c r="E793" s="139"/>
      <c r="F793" s="139"/>
      <c r="G793" s="155"/>
    </row>
    <row r="794" spans="2:14" x14ac:dyDescent="0.25">
      <c r="B794" s="154"/>
      <c r="C794" s="139"/>
      <c r="D794" s="139"/>
      <c r="E794" s="139"/>
      <c r="F794" s="139"/>
      <c r="G794" s="155"/>
    </row>
    <row r="795" spans="2:14" x14ac:dyDescent="0.25">
      <c r="B795" s="154"/>
      <c r="C795" s="139"/>
      <c r="D795" s="139"/>
      <c r="E795" s="139"/>
      <c r="F795" s="139"/>
      <c r="G795" s="155"/>
    </row>
    <row r="796" spans="2:14" x14ac:dyDescent="0.25">
      <c r="B796" s="154"/>
      <c r="C796" s="139"/>
      <c r="D796" s="139"/>
      <c r="E796" s="139"/>
      <c r="F796" s="139"/>
      <c r="G796" s="155"/>
    </row>
    <row r="797" spans="2:14" x14ac:dyDescent="0.25">
      <c r="B797" s="154"/>
      <c r="C797" s="139"/>
      <c r="D797" s="139"/>
      <c r="E797" s="139"/>
      <c r="F797" s="139"/>
      <c r="G797" s="155"/>
    </row>
    <row r="798" spans="2:14" x14ac:dyDescent="0.25">
      <c r="B798" s="154"/>
      <c r="C798" s="139"/>
      <c r="D798" s="139"/>
      <c r="E798" s="139"/>
      <c r="F798" s="139"/>
      <c r="G798" s="155"/>
    </row>
    <row r="799" spans="2:14" x14ac:dyDescent="0.25">
      <c r="B799" s="154"/>
      <c r="C799" s="139"/>
      <c r="D799" s="139"/>
      <c r="E799" s="139"/>
      <c r="F799" s="139"/>
      <c r="G799" s="155"/>
    </row>
    <row r="800" spans="2:14" x14ac:dyDescent="0.25">
      <c r="B800" s="154"/>
      <c r="C800" s="139"/>
      <c r="D800" s="139"/>
      <c r="E800" s="139"/>
      <c r="F800" s="139"/>
      <c r="G800" s="155"/>
    </row>
    <row r="801" spans="2:7" x14ac:dyDescent="0.25">
      <c r="B801" s="154"/>
      <c r="C801" s="139"/>
      <c r="D801" s="139"/>
      <c r="E801" s="139"/>
      <c r="F801" s="139"/>
      <c r="G801" s="155"/>
    </row>
    <row r="802" spans="2:7" x14ac:dyDescent="0.25">
      <c r="B802" s="154"/>
      <c r="C802" s="139"/>
      <c r="D802" s="139"/>
      <c r="E802" s="139"/>
      <c r="F802" s="139"/>
      <c r="G802" s="155"/>
    </row>
    <row r="803" spans="2:7" x14ac:dyDescent="0.25">
      <c r="B803" s="154"/>
      <c r="C803" s="139"/>
      <c r="D803" s="139"/>
      <c r="E803" s="139"/>
      <c r="F803" s="139"/>
      <c r="G803" s="155"/>
    </row>
    <row r="804" spans="2:7" ht="15.75" thickBot="1" x14ac:dyDescent="0.3">
      <c r="B804" s="156"/>
      <c r="C804" s="157"/>
      <c r="D804" s="157"/>
      <c r="E804" s="157"/>
      <c r="F804" s="157"/>
      <c r="G804" s="158"/>
    </row>
    <row r="805" spans="2:7" ht="9.6" customHeight="1" thickTop="1" x14ac:dyDescent="0.25">
      <c r="B805" s="79"/>
      <c r="C805" s="79"/>
      <c r="D805" s="79"/>
      <c r="E805" s="79"/>
      <c r="F805" s="79"/>
      <c r="G805" s="79"/>
    </row>
    <row r="806" spans="2:7" x14ac:dyDescent="0.25">
      <c r="B806" s="79"/>
      <c r="C806" s="79"/>
      <c r="D806" s="79"/>
      <c r="E806" s="79"/>
      <c r="F806" s="79"/>
      <c r="G806" s="79"/>
    </row>
    <row r="807" spans="2:7" x14ac:dyDescent="0.25">
      <c r="B807" s="79"/>
      <c r="C807" s="79"/>
      <c r="D807" s="79"/>
      <c r="E807" s="79"/>
      <c r="F807" s="79"/>
      <c r="G807" s="79"/>
    </row>
  </sheetData>
  <mergeCells count="134">
    <mergeCell ref="B770:G770"/>
    <mergeCell ref="B785:G785"/>
    <mergeCell ref="B230:J230"/>
    <mergeCell ref="B246:J246"/>
    <mergeCell ref="B301:J301"/>
    <mergeCell ref="B315:J315"/>
    <mergeCell ref="B328:J328"/>
    <mergeCell ref="B376:J376"/>
    <mergeCell ref="B391:J391"/>
    <mergeCell ref="B406:J406"/>
    <mergeCell ref="B450:J450"/>
    <mergeCell ref="B262:G262"/>
    <mergeCell ref="C292:F292"/>
    <mergeCell ref="B266:K286"/>
    <mergeCell ref="B318:N318"/>
    <mergeCell ref="B364:N364"/>
    <mergeCell ref="G365:N365"/>
    <mergeCell ref="B234:N234"/>
    <mergeCell ref="B550:J550"/>
    <mergeCell ref="B596:J596"/>
    <mergeCell ref="B612:J612"/>
    <mergeCell ref="C440:F440"/>
    <mergeCell ref="B441:B442"/>
    <mergeCell ref="C441:D441"/>
    <mergeCell ref="E441:F441"/>
    <mergeCell ref="B293:B294"/>
    <mergeCell ref="C293:D293"/>
    <mergeCell ref="B331:G359"/>
    <mergeCell ref="B439:N439"/>
    <mergeCell ref="B366:B367"/>
    <mergeCell ref="C366:D366"/>
    <mergeCell ref="E366:F366"/>
    <mergeCell ref="B468:N468"/>
    <mergeCell ref="B379:N379"/>
    <mergeCell ref="B465:J465"/>
    <mergeCell ref="E293:F293"/>
    <mergeCell ref="B409:G433"/>
    <mergeCell ref="C365:F365"/>
    <mergeCell ref="B479:J479"/>
    <mergeCell ref="B521:J521"/>
    <mergeCell ref="B536:J536"/>
    <mergeCell ref="J220:N220"/>
    <mergeCell ref="B454:N454"/>
    <mergeCell ref="I456:K456"/>
    <mergeCell ref="B788:G804"/>
    <mergeCell ref="B708:G735"/>
    <mergeCell ref="C663:F663"/>
    <mergeCell ref="B664:B665"/>
    <mergeCell ref="C664:D664"/>
    <mergeCell ref="E664:F664"/>
    <mergeCell ref="C678:N678"/>
    <mergeCell ref="C693:N693"/>
    <mergeCell ref="C743:F743"/>
    <mergeCell ref="B744:B745"/>
    <mergeCell ref="C744:D744"/>
    <mergeCell ref="E744:F744"/>
    <mergeCell ref="B674:J674"/>
    <mergeCell ref="B690:J690"/>
    <mergeCell ref="B705:J705"/>
    <mergeCell ref="B584:N584"/>
    <mergeCell ref="B600:N600"/>
    <mergeCell ref="C662:N662"/>
    <mergeCell ref="C150:D150"/>
    <mergeCell ref="B220:B221"/>
    <mergeCell ref="C220:D220"/>
    <mergeCell ref="E220:F220"/>
    <mergeCell ref="B218:N218"/>
    <mergeCell ref="G219:N219"/>
    <mergeCell ref="C40:N40"/>
    <mergeCell ref="B52:J52"/>
    <mergeCell ref="B37:J37"/>
    <mergeCell ref="B91:J91"/>
    <mergeCell ref="B106:J106"/>
    <mergeCell ref="B122:J122"/>
    <mergeCell ref="B159:J159"/>
    <mergeCell ref="B174:J174"/>
    <mergeCell ref="B188:J188"/>
    <mergeCell ref="E150:F150"/>
    <mergeCell ref="C94:N94"/>
    <mergeCell ref="G80:N80"/>
    <mergeCell ref="G81:I81"/>
    <mergeCell ref="J81:N81"/>
    <mergeCell ref="C95:H95"/>
    <mergeCell ref="I95:N95"/>
    <mergeCell ref="B126:H146"/>
    <mergeCell ref="B191:H213"/>
    <mergeCell ref="E512:F512"/>
    <mergeCell ref="D1:L1"/>
    <mergeCell ref="C79:N79"/>
    <mergeCell ref="C80:F80"/>
    <mergeCell ref="B81:B82"/>
    <mergeCell ref="C81:D81"/>
    <mergeCell ref="E81:F81"/>
    <mergeCell ref="J82:K82"/>
    <mergeCell ref="L82:M82"/>
    <mergeCell ref="C219:F219"/>
    <mergeCell ref="C25:N25"/>
    <mergeCell ref="B22:J22"/>
    <mergeCell ref="C10:N10"/>
    <mergeCell ref="C11:F11"/>
    <mergeCell ref="B12:B13"/>
    <mergeCell ref="C12:D12"/>
    <mergeCell ref="E12:F12"/>
    <mergeCell ref="B55:H74"/>
    <mergeCell ref="B110:N110"/>
    <mergeCell ref="B148:N148"/>
    <mergeCell ref="B163:N163"/>
    <mergeCell ref="J150:N150"/>
    <mergeCell ref="C149:F149"/>
    <mergeCell ref="B150:B151"/>
    <mergeCell ref="C742:N742"/>
    <mergeCell ref="C758:N758"/>
    <mergeCell ref="C773:N773"/>
    <mergeCell ref="B754:E754"/>
    <mergeCell ref="B177:N177"/>
    <mergeCell ref="B250:N250"/>
    <mergeCell ref="B291:N291"/>
    <mergeCell ref="B305:N305"/>
    <mergeCell ref="B615:N615"/>
    <mergeCell ref="B630:G655"/>
    <mergeCell ref="C585:F585"/>
    <mergeCell ref="B586:B587"/>
    <mergeCell ref="C586:D586"/>
    <mergeCell ref="E586:F586"/>
    <mergeCell ref="B627:J627"/>
    <mergeCell ref="B394:N394"/>
    <mergeCell ref="B510:N510"/>
    <mergeCell ref="B525:N525"/>
    <mergeCell ref="B539:N539"/>
    <mergeCell ref="C511:F511"/>
    <mergeCell ref="B512:B513"/>
    <mergeCell ref="B482:G505"/>
    <mergeCell ref="B553:G577"/>
    <mergeCell ref="C512:D5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dcterms:created xsi:type="dcterms:W3CDTF">2023-01-09T13:53:48Z</dcterms:created>
  <dcterms:modified xsi:type="dcterms:W3CDTF">2024-01-31T13:34:03Z</dcterms:modified>
</cp:coreProperties>
</file>